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Смета по ТСН-2001" sheetId="1" r:id="rId1"/>
    <sheet name="Source" sheetId="2" r:id="rId2"/>
    <sheet name="SourceObSm" sheetId="3" r:id="rId3"/>
    <sheet name="SmtRes" sheetId="4" r:id="rId4"/>
    <sheet name="EtalonRes" sheetId="5" r:id="rId5"/>
  </sheets>
  <definedNames>
    <definedName name="_xlnm.Print_Titles" localSheetId="0">'Смета по ТСН-2001'!$31:$31</definedName>
    <definedName name="_xlnm.Print_Area" localSheetId="0">'Смета по ТСН-2001'!$A$1:$K$144</definedName>
  </definedNames>
  <calcPr fullCalcOnLoad="1"/>
</workbook>
</file>

<file path=xl/sharedStrings.xml><?xml version="1.0" encoding="utf-8"?>
<sst xmlns="http://schemas.openxmlformats.org/spreadsheetml/2006/main" count="1412" uniqueCount="152">
  <si>
    <t>Smeta.RU  (495) 974-1589</t>
  </si>
  <si>
    <t>_PS_</t>
  </si>
  <si>
    <t>Smeta.RU</t>
  </si>
  <si>
    <t/>
  </si>
  <si>
    <t>Новый объект</t>
  </si>
  <si>
    <t>Мытьё фасадов</t>
  </si>
  <si>
    <t>Сметные нормы списания</t>
  </si>
  <si>
    <t>Коды ОКП для ТСН-2001</t>
  </si>
  <si>
    <t>ТСН 2001- Ремонт</t>
  </si>
  <si>
    <t>Типовой расчет для ТСН-2001 (Ремонт)</t>
  </si>
  <si>
    <t>ТСН-2001</t>
  </si>
  <si>
    <t>Поправки для ТСН-2001</t>
  </si>
  <si>
    <t>Новая локальная смета</t>
  </si>
  <si>
    <t>фасад</t>
  </si>
  <si>
    <t>Новый раздел</t>
  </si>
  <si>
    <t>Колымажный пер. 4с1</t>
  </si>
  <si>
    <t>2</t>
  </si>
  <si>
    <t>6.62-26-6</t>
  </si>
  <si>
    <t>ПРОМЫВКА ПОВЕРХНОСТЕЙ ФАСАДОВ С ЭЛЕКТРОЛЮЛЕК, ОКРАШЕННЫХ МАСЛЯНЫМИ КРАСКАМИ</t>
  </si>
  <si>
    <t>100 м2</t>
  </si>
  <si>
    <t>ТСН-2001.6. База. Сб.62, т.26, поз.6</t>
  </si>
  <si>
    <t>Ремонтно-строительные работы</t>
  </si>
  <si>
    <t>ТСН-2001.6-62. 62-26-4...62-26-10</t>
  </si>
  <si>
    <t>ТСН-2001.6-62-8</t>
  </si>
  <si>
    <t>3</t>
  </si>
  <si>
    <t>2.1-4-68</t>
  </si>
  <si>
    <t>ЛЮЛЬКИ ЭЛЕКТРИЧЕСКИЕ, ГРУЗОПОДЪЕМНОСТЬ ДО 300 КГ</t>
  </si>
  <si>
    <t>маш.-ч</t>
  </si>
  <si>
    <t>ТСН-2001.2. База. п.1-4-68 (046502)</t>
  </si>
  <si>
    <t>5</t>
  </si>
  <si>
    <t>6.69-49-1</t>
  </si>
  <si>
    <t>НАВЕСКА И РАЗБОРКА АЛЬПИНИСТСКОГО СНАРЯЖЕНИЯ ДЛЯ ПРОВЕДЕНИЯ ВЫСОТНЫХ РАБОТ, ПЕРВИЧНАЯ НАВЕСКА</t>
  </si>
  <si>
    <t>шт.</t>
  </si>
  <si>
    <t>ТСН-2001.6. База. Сб.69, т.49, поз.1</t>
  </si>
  <si>
    <t>ТСН-2001.6-69. 69-1...69-49</t>
  </si>
  <si>
    <t>ТСН-2001.6-69-1</t>
  </si>
  <si>
    <t>6</t>
  </si>
  <si>
    <t>6.69-49-2</t>
  </si>
  <si>
    <t>НАВЕСКА И РАЗБОРКА АЛЬПИНИСТСКОГО СНАРЯЖЕНИЯ ДЛЯ ПРОВЕДЕНИЯ ВЫСОТНЫХ РАБОТ, ПЕРЕНАВЕСКА</t>
  </si>
  <si>
    <t>ТСН-2001.6. База. Сб.69, т.49, поз.2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</si>
  <si>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</si>
  <si>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</si>
  <si>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</si>
  <si>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</si>
  <si>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</si>
  <si>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</si>
  <si>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</si>
  <si>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</si>
  <si>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</si>
  <si>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</si>
  <si>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</si>
  <si>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</si>
  <si>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</si>
  <si>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</si>
  <si>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</si>
  <si>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</si>
  <si>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</si>
  <si>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</si>
  <si>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</si>
  <si>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</si>
  <si>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</si>
  <si>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</si>
  <si>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</si>
  <si>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</si>
  <si>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</si>
  <si>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</si>
  <si>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</si>
  <si>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</si>
  <si>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</si>
  <si>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</si>
  <si>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</si>
  <si>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</si>
  <si>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</si>
  <si>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</si>
  <si>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</si>
  <si>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</si>
  <si>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</si>
  <si>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</si>
  <si>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</si>
  <si>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</si>
  <si>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</si>
  <si>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</si>
  <si>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</si>
  <si>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</si>
  <si>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</si>
  <si>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</si>
  <si>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Колымажный 2/Волхонка 10</t>
  </si>
  <si>
    <t>1</t>
  </si>
  <si>
    <t>4</t>
  </si>
  <si>
    <t>Волхонка 8</t>
  </si>
  <si>
    <t>Врем</t>
  </si>
  <si>
    <t>Временные здания и сооружения  0,3% *0</t>
  </si>
  <si>
    <t>С времен</t>
  </si>
  <si>
    <t>Итого с временными зданиями и сооружениями</t>
  </si>
  <si>
    <t>НДС</t>
  </si>
  <si>
    <t>НДС 18%</t>
  </si>
  <si>
    <t>С НДС</t>
  </si>
  <si>
    <t>Итого с НДС</t>
  </si>
  <si>
    <t>Уровень цен</t>
  </si>
  <si>
    <t>Сборник индексов</t>
  </si>
  <si>
    <t>ТСН-2001 ремонт</t>
  </si>
  <si>
    <t>_OBSM_</t>
  </si>
  <si>
    <t>9999990008</t>
  </si>
  <si>
    <t>ТРУДОЗАТРАТЫ РАБОЧИХ (ЭСН)</t>
  </si>
  <si>
    <t>чел.-ч.</t>
  </si>
  <si>
    <t>0.0-0-0</t>
  </si>
  <si>
    <t>СТОИМОСТЬ ПРОЧИХ МАТЕРИАЛОВ (ЭСН)</t>
  </si>
  <si>
    <t>руб.</t>
  </si>
  <si>
    <t>1.1-1-660</t>
  </si>
  <si>
    <t>МЫЛО ТВЕРДОЕ</t>
  </si>
  <si>
    <t>кг</t>
  </si>
  <si>
    <t>"СОГЛАСОВАНО"</t>
  </si>
  <si>
    <t>"УТВЕРЖДАЮ"</t>
  </si>
  <si>
    <t>Форма № 1б</t>
  </si>
  <si>
    <t>"_____"________________ 2016 г.</t>
  </si>
  <si>
    <t>(наименование стройки)</t>
  </si>
  <si>
    <t>(локальный сметный расчет)</t>
  </si>
  <si>
    <t>(наименование работ и затрат, наименование объекта)</t>
  </si>
  <si>
    <t>базовая    цена</t>
  </si>
  <si>
    <t>текущая   цена</t>
  </si>
  <si>
    <t>Сметная стоимость</t>
  </si>
  <si>
    <t>тыс.руб</t>
  </si>
  <si>
    <t>Строительные работы</t>
  </si>
  <si>
    <t>Монтажные работы</t>
  </si>
  <si>
    <t>Оборудование</t>
  </si>
  <si>
    <t>Прочие работы</t>
  </si>
  <si>
    <t>Средства на оплату труда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</si>
  <si>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</si>
  <si>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</si>
  <si>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</si>
  <si>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</si>
  <si>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</si>
  <si>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ед. изм. руб.</t>
  </si>
  <si>
    <t>Попра-вочные коэфф.</t>
  </si>
  <si>
    <t>Коэфф. зимних удоро-жаний</t>
  </si>
  <si>
    <t>ВСЕГО в базисном уровне цен, руб.</t>
  </si>
  <si>
    <t>Коэфф. пересчета и нормы НР и СП</t>
  </si>
  <si>
    <t>Всего в текущем уровне цен, руб.</t>
  </si>
  <si>
    <t xml:space="preserve">Составлен(а) в уровне текущих (прогнозных) цен ТСН-2001 ремонт октябрь 2015 года </t>
  </si>
  <si>
    <t>ЗП</t>
  </si>
  <si>
    <t>ЭМ</t>
  </si>
  <si>
    <t>в т.ч. ЗПМ</t>
  </si>
  <si>
    <t>МР</t>
  </si>
  <si>
    <t>НР от ЗП</t>
  </si>
  <si>
    <t>%</t>
  </si>
  <si>
    <t>СП от ЗП</t>
  </si>
  <si>
    <t>НР и СП от ЗПМ</t>
  </si>
  <si>
    <t>ЗТР</t>
  </si>
  <si>
    <t>чел-ч</t>
  </si>
  <si>
    <t xml:space="preserve">Составил   </t>
  </si>
  <si>
    <t>[должность,подпись(инициалы,фамилия)]</t>
  </si>
  <si>
    <t xml:space="preserve">Проверил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</si>
</sst>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\ #,##0.00"/>
    <numFmt numFmtId="173" formatCode="mmmm"/>
    <numFmt numFmtId="174" formatCode="#,##0.00####;[Red]\-\ #,##0.00####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left" wrapText="1"/>
    </xf>
    <xf numFmtId="0" fontId="32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center" wrapText="1"/>
    </xf>
    <xf numFmtId="172" fontId="30" fillId="0" borderId="0" xfId="0" applyNumberFormat="1" applyFont="1" applyAlignment="1">
      <alignment/>
    </xf>
    <xf numFmtId="173" fontId="30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0" fillId="0" borderId="0" xfId="0" applyFont="1" applyAlignment="1">
      <alignment horizontal="left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0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 wrapText="1"/>
    </xf>
    <xf numFmtId="0" fontId="35" fillId="0" borderId="0" xfId="0" applyFont="1" applyAlignment="1">
      <alignment horizontal="right" wrapText="1"/>
    </xf>
    <xf numFmtId="0" fontId="30" fillId="0" borderId="0" xfId="0" applyFont="1" applyAlignment="1">
      <alignment horizontal="right" wrapText="1"/>
    </xf>
    <xf numFmtId="174" fontId="30" fillId="0" borderId="0" xfId="0" applyNumberFormat="1" applyFont="1" applyAlignment="1">
      <alignment horizontal="right"/>
    </xf>
    <xf numFmtId="172" fontId="30" fillId="0" borderId="0" xfId="0" applyNumberFormat="1" applyFont="1" applyAlignment="1">
      <alignment horizontal="right"/>
    </xf>
    <xf numFmtId="172" fontId="35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172" fontId="30" fillId="0" borderId="0" xfId="0" applyNumberFormat="1" applyFont="1" applyAlignment="1">
      <alignment horizontal="right"/>
    </xf>
    <xf numFmtId="172" fontId="36" fillId="0" borderId="0" xfId="0" applyNumberFormat="1" applyFont="1" applyAlignment="1">
      <alignment horizontal="right"/>
    </xf>
    <xf numFmtId="0" fontId="0" fillId="0" borderId="14" xfId="0" applyBorder="1" applyAlignment="1">
      <alignment/>
    </xf>
    <xf numFmtId="172" fontId="36" fillId="0" borderId="14" xfId="0" applyNumberFormat="1" applyFont="1" applyBorder="1" applyAlignment="1">
      <alignment horizontal="right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30" fillId="0" borderId="0" xfId="0" applyFont="1" applyAlignment="1" quotePrefix="1">
      <alignment horizontal="left" wrapText="1"/>
    </xf>
    <xf numFmtId="0" fontId="30" fillId="0" borderId="0" xfId="0" applyFont="1" applyAlignment="1">
      <alignment horizontal="right" vertical="center"/>
    </xf>
    <xf numFmtId="0" fontId="3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40.7109375" style="0" customWidth="1"/>
    <col min="4" max="6" width="11.7109375" style="0" customWidth="1"/>
    <col min="7" max="7" width="12.7109375" style="0" customWidth="1"/>
    <col min="8" max="8" width="10.7109375" style="0" customWidth="1"/>
    <col min="9" max="11" width="12.7109375" style="0" customWidth="1"/>
    <col min="15" max="30" width="0" style="0" hidden="1" customWidth="1"/>
    <col min="31" max="31" width="150.7109375" style="0" hidden="1" customWidth="1"/>
    <col min="32" max="32" width="104.7109375" style="0" hidden="1" customWidth="1"/>
    <col min="33" max="33" width="0" style="0" hidden="1" customWidth="1"/>
    <col min="34" max="34" width="110.7109375" style="0" hidden="1" customWidth="1"/>
    <col min="35" max="36" width="0" style="0" hidden="1" customWidth="1"/>
  </cols>
  <sheetData>
    <row r="1" ht="12.75">
      <c r="A1" s="9" t="str">
        <f>CONCATENATE(Source!B1,"     ТСН-2001 (© ОАО МЦЦС 'Мосстройцены', 2006)")</f>
        <v>Smeta.RU  (495) 974-1589     ТСН-2001 (© ОАО МЦЦС 'Мосстройцены', 2006)</v>
      </c>
    </row>
    <row r="2" spans="1:11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1" t="s">
        <v>113</v>
      </c>
    </row>
    <row r="3" spans="1:11" ht="16.5">
      <c r="A3" s="12"/>
      <c r="B3" s="13" t="s">
        <v>111</v>
      </c>
      <c r="C3" s="13"/>
      <c r="D3" s="13"/>
      <c r="E3" s="13"/>
      <c r="F3" s="11"/>
      <c r="G3" s="13" t="s">
        <v>112</v>
      </c>
      <c r="H3" s="13"/>
      <c r="I3" s="13"/>
      <c r="J3" s="13"/>
      <c r="K3" s="13"/>
    </row>
    <row r="4" spans="1:11" ht="14.25">
      <c r="A4" s="11"/>
      <c r="B4" s="14"/>
      <c r="C4" s="14"/>
      <c r="D4" s="14"/>
      <c r="E4" s="14"/>
      <c r="F4" s="11"/>
      <c r="G4" s="14"/>
      <c r="H4" s="14"/>
      <c r="I4" s="14"/>
      <c r="J4" s="14"/>
      <c r="K4" s="14"/>
    </row>
    <row r="5" spans="1:11" ht="14.25">
      <c r="A5" s="15"/>
      <c r="B5" s="15"/>
      <c r="C5" s="16"/>
      <c r="D5" s="16"/>
      <c r="E5" s="16"/>
      <c r="F5" s="11"/>
      <c r="G5" s="17"/>
      <c r="H5" s="16"/>
      <c r="I5" s="16"/>
      <c r="J5" s="16"/>
      <c r="K5" s="17"/>
    </row>
    <row r="6" spans="1:11" ht="14.25">
      <c r="A6" s="17"/>
      <c r="B6" s="14" t="str">
        <f>CONCATENATE("______________________ ",IF(Source!AL12&lt;&gt;"",Source!AL12,""))</f>
        <v>______________________ </v>
      </c>
      <c r="C6" s="14"/>
      <c r="D6" s="14"/>
      <c r="E6" s="14"/>
      <c r="F6" s="11"/>
      <c r="G6" s="14" t="str">
        <f>CONCATENATE("______________________ ",IF(Source!AH12&lt;&gt;"",Source!AH12,""))</f>
        <v>______________________ </v>
      </c>
      <c r="H6" s="14"/>
      <c r="I6" s="14"/>
      <c r="J6" s="14"/>
      <c r="K6" s="14"/>
    </row>
    <row r="7" spans="1:11" ht="14.25">
      <c r="A7" s="18"/>
      <c r="B7" s="19" t="s">
        <v>114</v>
      </c>
      <c r="C7" s="19"/>
      <c r="D7" s="19"/>
      <c r="E7" s="19"/>
      <c r="F7" s="11"/>
      <c r="G7" s="19" t="s">
        <v>114</v>
      </c>
      <c r="H7" s="19"/>
      <c r="I7" s="19"/>
      <c r="J7" s="19"/>
      <c r="K7" s="19"/>
    </row>
    <row r="9" spans="1:11" ht="14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5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2.75">
      <c r="A11" s="21" t="s">
        <v>115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4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31" ht="15.75">
      <c r="A13" s="20" t="str">
        <f>CONCATENATE("ЛОКАЛЬНАЯ СМЕТА № ",IF(Source!F20&lt;&gt;"Новая локальная смета",Source!F20,""))</f>
        <v>ЛОКАЛЬНАЯ СМЕТА № 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AE13" s="34" t="str">
        <f>CONCATENATE("ЛОКАЛЬНАЯ СМЕТА № ",IF(Source!F20&lt;&gt;"Новая локальная смета",Source!F20,""))</f>
        <v>ЛОКАЛЬНАЯ СМЕТА № </v>
      </c>
    </row>
    <row r="14" spans="1:11" ht="12.75">
      <c r="A14" s="23" t="s">
        <v>116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4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31" ht="18">
      <c r="A16" s="24" t="str">
        <f>IF(Source!G20&lt;&gt;"Новая локальная смета",Source!G20,"")</f>
        <v>фасад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AE16" s="35" t="str">
        <f>IF(Source!G20&lt;&gt;"Новая локальная смета",Source!G20,"")</f>
        <v>фасад</v>
      </c>
    </row>
    <row r="17" spans="1:11" ht="14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31" ht="18">
      <c r="A18" s="25" t="str">
        <f>IF(Source!G12&lt;&gt;"Новый объект",Source!G12,"")</f>
        <v>Мытьё фасадов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AE18" s="36" t="str">
        <f>IF(Source!G12&lt;&gt;"Новый объект",Source!G12,"")</f>
        <v>Мытьё фасадов</v>
      </c>
    </row>
    <row r="19" spans="1:11" ht="12.75">
      <c r="A19" s="23" t="s">
        <v>117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31" ht="14.25">
      <c r="A21" s="27" t="str">
        <f>CONCATENATE("Основание: чертежи № ",Source!J20)</f>
        <v>Основание: чертежи № 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AE21" s="37" t="str">
        <f>CONCATENATE("Основание: чертежи № ",Source!J20)</f>
        <v>Основание: чертежи № </v>
      </c>
    </row>
    <row r="22" spans="1:11" ht="28.5">
      <c r="A22" s="11"/>
      <c r="B22" s="11"/>
      <c r="C22" s="11"/>
      <c r="D22" s="11"/>
      <c r="E22" s="11"/>
      <c r="F22" s="11"/>
      <c r="G22" s="11"/>
      <c r="H22" s="11"/>
      <c r="I22" s="28" t="s">
        <v>118</v>
      </c>
      <c r="J22" s="28" t="s">
        <v>119</v>
      </c>
      <c r="K22" s="11"/>
    </row>
    <row r="23" spans="1:11" ht="14.25">
      <c r="A23" s="11"/>
      <c r="B23" s="11"/>
      <c r="C23" s="11"/>
      <c r="D23" s="11"/>
      <c r="E23" s="11"/>
      <c r="F23" s="14" t="s">
        <v>120</v>
      </c>
      <c r="G23" s="14"/>
      <c r="H23" s="14"/>
      <c r="I23" s="29">
        <f>SUM(O32:O129)/1000</f>
        <v>10.506719999999998</v>
      </c>
      <c r="J23" s="29">
        <f>(Source!F153/1000)</f>
        <v>146.0766</v>
      </c>
      <c r="K23" s="11" t="s">
        <v>121</v>
      </c>
    </row>
    <row r="24" spans="1:11" ht="14.25">
      <c r="A24" s="11"/>
      <c r="B24" s="11"/>
      <c r="C24" s="11"/>
      <c r="D24" s="11"/>
      <c r="E24" s="11"/>
      <c r="F24" s="14" t="s">
        <v>122</v>
      </c>
      <c r="G24" s="14"/>
      <c r="H24" s="14"/>
      <c r="I24" s="29">
        <f>SUM(X32:X129)/1000</f>
        <v>10.506719999999998</v>
      </c>
      <c r="J24" s="29">
        <f>(Source!F144)/1000</f>
        <v>146.0766</v>
      </c>
      <c r="K24" s="11" t="s">
        <v>121</v>
      </c>
    </row>
    <row r="25" spans="1:11" ht="14.25">
      <c r="A25" s="11"/>
      <c r="B25" s="11"/>
      <c r="C25" s="11"/>
      <c r="D25" s="11"/>
      <c r="E25" s="11"/>
      <c r="F25" s="14" t="s">
        <v>123</v>
      </c>
      <c r="G25" s="14"/>
      <c r="H25" s="14"/>
      <c r="I25" s="29">
        <f>SUM(Y32:Y129)/1000</f>
        <v>0</v>
      </c>
      <c r="J25" s="29">
        <f>(Source!F145)/1000</f>
        <v>0</v>
      </c>
      <c r="K25" s="11" t="s">
        <v>121</v>
      </c>
    </row>
    <row r="26" spans="1:11" ht="14.25">
      <c r="A26" s="11"/>
      <c r="B26" s="11"/>
      <c r="C26" s="11"/>
      <c r="D26" s="11"/>
      <c r="E26" s="11"/>
      <c r="F26" s="14" t="s">
        <v>124</v>
      </c>
      <c r="G26" s="14"/>
      <c r="H26" s="14"/>
      <c r="I26" s="29">
        <f>SUM(Z32:Z129)/1000</f>
        <v>0</v>
      </c>
      <c r="J26" s="29">
        <f>(Source!F138)/1000</f>
        <v>0</v>
      </c>
      <c r="K26" s="11" t="s">
        <v>121</v>
      </c>
    </row>
    <row r="27" spans="1:11" ht="14.25">
      <c r="A27" s="11"/>
      <c r="B27" s="11"/>
      <c r="C27" s="11"/>
      <c r="D27" s="11"/>
      <c r="E27" s="11"/>
      <c r="F27" s="14" t="s">
        <v>125</v>
      </c>
      <c r="G27" s="14"/>
      <c r="H27" s="14"/>
      <c r="I27" s="29">
        <f>SUM(AA32:AA129)/1000</f>
        <v>0</v>
      </c>
      <c r="J27" s="29">
        <f>(Source!F146)/1000</f>
        <v>0</v>
      </c>
      <c r="K27" s="11" t="s">
        <v>121</v>
      </c>
    </row>
    <row r="28" spans="1:11" ht="14.25">
      <c r="A28" s="11"/>
      <c r="B28" s="11"/>
      <c r="C28" s="11"/>
      <c r="D28" s="11"/>
      <c r="E28" s="11"/>
      <c r="F28" s="14" t="s">
        <v>126</v>
      </c>
      <c r="G28" s="14"/>
      <c r="H28" s="14"/>
      <c r="I28" s="29">
        <f>SUM(W32:W129)/1000</f>
        <v>3.93071</v>
      </c>
      <c r="J28" s="29">
        <f>(Source!F143+Source!F142)/1000</f>
        <v>65.36786000000001</v>
      </c>
      <c r="K28" s="11" t="s">
        <v>121</v>
      </c>
    </row>
    <row r="29" spans="1:11" ht="14.25">
      <c r="A29" s="11" t="s">
        <v>138</v>
      </c>
      <c r="B29" s="11"/>
      <c r="C29" s="11"/>
      <c r="D29" s="30"/>
      <c r="E29" s="31"/>
      <c r="F29" s="11"/>
      <c r="G29" s="11"/>
      <c r="H29" s="11"/>
      <c r="I29" s="11"/>
      <c r="J29" s="11"/>
      <c r="K29" s="11"/>
    </row>
    <row r="30" spans="1:11" ht="57">
      <c r="A30" s="32" t="s">
        <v>127</v>
      </c>
      <c r="B30" s="32" t="s">
        <v>128</v>
      </c>
      <c r="C30" s="32" t="s">
        <v>129</v>
      </c>
      <c r="D30" s="32" t="s">
        <v>130</v>
      </c>
      <c r="E30" s="32" t="s">
        <v>131</v>
      </c>
      <c r="F30" s="32" t="s">
        <v>132</v>
      </c>
      <c r="G30" s="33" t="s">
        <v>133</v>
      </c>
      <c r="H30" s="33" t="s">
        <v>134</v>
      </c>
      <c r="I30" s="32" t="s">
        <v>135</v>
      </c>
      <c r="J30" s="32" t="s">
        <v>136</v>
      </c>
      <c r="K30" s="32" t="s">
        <v>137</v>
      </c>
    </row>
    <row r="31" spans="1:11" ht="14.25">
      <c r="A31" s="32">
        <v>1</v>
      </c>
      <c r="B31" s="32">
        <v>2</v>
      </c>
      <c r="C31" s="32">
        <v>3</v>
      </c>
      <c r="D31" s="32">
        <v>4</v>
      </c>
      <c r="E31" s="32">
        <v>5</v>
      </c>
      <c r="F31" s="32">
        <v>6</v>
      </c>
      <c r="G31" s="32">
        <v>7</v>
      </c>
      <c r="H31" s="32">
        <v>8</v>
      </c>
      <c r="I31" s="32">
        <v>9</v>
      </c>
      <c r="J31" s="32">
        <v>10</v>
      </c>
      <c r="K31" s="32">
        <v>11</v>
      </c>
    </row>
    <row r="33" spans="1:31" ht="16.5">
      <c r="A33" s="38" t="str">
        <f>CONCATENATE("Раздел: ",IF(Source!G24&lt;&gt;"Новый раздел",Source!G24,""))</f>
        <v>Раздел: Колымажный пер. 4с1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AE33" s="39" t="str">
        <f>CONCATENATE("Раздел: ",IF(Source!G24&lt;&gt;"Новый раздел",Source!G24,""))</f>
        <v>Раздел: Колымажный пер. 4с1</v>
      </c>
    </row>
    <row r="34" spans="1:22" ht="57">
      <c r="A34" s="40" t="str">
        <f>Source!E28</f>
        <v>2</v>
      </c>
      <c r="B34" s="41" t="str">
        <f>Source!F28</f>
        <v>6.62-26-6</v>
      </c>
      <c r="C34" s="41" t="str">
        <f>Source!G28</f>
        <v>ПРОМЫВКА ПОВЕРХНОСТЕЙ ФАСАДОВ С ЭЛЕКТРОЛЮЛЕК, ОКРАШЕННЫХ МАСЛЯНЫМИ КРАСКАМИ</v>
      </c>
      <c r="D34" s="42" t="str">
        <f>Source!H28</f>
        <v>100 м2</v>
      </c>
      <c r="E34" s="10">
        <f>Source!I28</f>
        <v>4.403</v>
      </c>
      <c r="F34" s="44"/>
      <c r="G34" s="43"/>
      <c r="H34" s="10"/>
      <c r="I34" s="45"/>
      <c r="J34" s="10"/>
      <c r="K34" s="45"/>
      <c r="Q34">
        <f>ROUND((Source!DN28/100)*ROUND((Source!AF28*Source!AV28)*Source!I28,2),2)</f>
        <v>296.83</v>
      </c>
      <c r="R34">
        <f>Source!X28</f>
        <v>4146.53</v>
      </c>
      <c r="S34">
        <f>ROUND((Source!DO28/100)*ROUND((Source!AF28*Source!AV28)*Source!I28,2),2)</f>
        <v>189.97</v>
      </c>
      <c r="T34">
        <f>Source!Y28</f>
        <v>2171.99</v>
      </c>
      <c r="U34">
        <f>ROUND((175/100)*ROUND((Source!AE28*Source!AV28)*Source!I28,2),2)</f>
        <v>31.62</v>
      </c>
      <c r="V34">
        <f>ROUND((169/100)*ROUND(Source!CS28*Source!I28,2),2)</f>
        <v>507.88</v>
      </c>
    </row>
    <row r="35" spans="1:23" ht="14.25">
      <c r="A35" s="40"/>
      <c r="B35" s="41"/>
      <c r="C35" s="41" t="s">
        <v>139</v>
      </c>
      <c r="D35" s="42"/>
      <c r="E35" s="10"/>
      <c r="F35" s="44">
        <f>Source!AO28</f>
        <v>64.39</v>
      </c>
      <c r="G35" s="43">
        <f>Source!DG28</f>
      </c>
      <c r="H35" s="10">
        <f>Source!AV28</f>
        <v>1.047</v>
      </c>
      <c r="I35" s="45">
        <f>ROUND((Source!AF28*Source!AV28)*Source!I28,2)</f>
        <v>296.83</v>
      </c>
      <c r="J35" s="10">
        <f>IF(Source!BA28&lt;&gt;0,Source!BA28,1)</f>
        <v>16.63</v>
      </c>
      <c r="K35" s="45">
        <f>Source!S28</f>
        <v>4936.35</v>
      </c>
      <c r="W35">
        <f>ROUND((Source!AF28*Source!AV28)*Source!I28,2)</f>
        <v>296.83</v>
      </c>
    </row>
    <row r="36" spans="1:11" ht="14.25">
      <c r="A36" s="40"/>
      <c r="B36" s="41"/>
      <c r="C36" s="41" t="s">
        <v>140</v>
      </c>
      <c r="D36" s="42"/>
      <c r="E36" s="10"/>
      <c r="F36" s="44">
        <f>Source!AM28</f>
        <v>43.75</v>
      </c>
      <c r="G36" s="43">
        <f>Source!DE28</f>
      </c>
      <c r="H36" s="10">
        <f>Source!AV28</f>
        <v>1.047</v>
      </c>
      <c r="I36" s="45">
        <f>ROUND((Source!AD28*Source!AV28)*Source!I28,2)</f>
        <v>201.68</v>
      </c>
      <c r="J36" s="10">
        <f>IF(Source!BB28&lt;&gt;0,Source!BB28,1)</f>
        <v>4.84</v>
      </c>
      <c r="K36" s="45">
        <f>Source!Q28</f>
        <v>976.16</v>
      </c>
    </row>
    <row r="37" spans="1:23" ht="14.25">
      <c r="A37" s="40"/>
      <c r="B37" s="41"/>
      <c r="C37" s="41" t="s">
        <v>141</v>
      </c>
      <c r="D37" s="42"/>
      <c r="E37" s="10"/>
      <c r="F37" s="44">
        <f>Source!AN28</f>
        <v>3.92</v>
      </c>
      <c r="G37" s="43">
        <f>Source!DF28</f>
      </c>
      <c r="H37" s="10">
        <f>Source!AV28</f>
        <v>1.047</v>
      </c>
      <c r="I37" s="46">
        <f>ROUND((Source!AE28*Source!AV28)*Source!I28,2)</f>
        <v>18.07</v>
      </c>
      <c r="J37" s="10">
        <f>IF(Source!BS28&lt;&gt;0,Source!BS28,1)</f>
        <v>16.63</v>
      </c>
      <c r="K37" s="46">
        <f>Source!R28</f>
        <v>300.52</v>
      </c>
      <c r="W37">
        <f>ROUND((Source!AE28*Source!AV28)*Source!I28,2)</f>
        <v>18.07</v>
      </c>
    </row>
    <row r="38" spans="1:11" ht="14.25">
      <c r="A38" s="40"/>
      <c r="B38" s="41"/>
      <c r="C38" s="41" t="s">
        <v>142</v>
      </c>
      <c r="D38" s="42"/>
      <c r="E38" s="10"/>
      <c r="F38" s="44">
        <f>Source!AL28</f>
        <v>10.2</v>
      </c>
      <c r="G38" s="43">
        <f>Source!DD28</f>
      </c>
      <c r="H38" s="10">
        <f>Source!AW28</f>
        <v>1.003</v>
      </c>
      <c r="I38" s="45">
        <f>ROUND((Source!AC28*Source!AW28)*Source!I28,2)</f>
        <v>45.05</v>
      </c>
      <c r="J38" s="10">
        <f>IF(Source!BC28&lt;&gt;0,Source!BC28,1)</f>
        <v>3.08</v>
      </c>
      <c r="K38" s="45">
        <f>Source!P28</f>
        <v>138.74</v>
      </c>
    </row>
    <row r="39" spans="1:11" ht="14.25">
      <c r="A39" s="40"/>
      <c r="B39" s="41"/>
      <c r="C39" s="41" t="s">
        <v>143</v>
      </c>
      <c r="D39" s="42" t="s">
        <v>144</v>
      </c>
      <c r="E39" s="10">
        <f>Source!DN28</f>
        <v>100</v>
      </c>
      <c r="F39" s="44"/>
      <c r="G39" s="43"/>
      <c r="H39" s="10"/>
      <c r="I39" s="45">
        <f>SUM(Q34:Q38)</f>
        <v>296.83</v>
      </c>
      <c r="J39" s="10">
        <f>Source!BZ28</f>
        <v>84</v>
      </c>
      <c r="K39" s="45">
        <f>SUM(R34:R38)</f>
        <v>4146.53</v>
      </c>
    </row>
    <row r="40" spans="1:11" ht="14.25">
      <c r="A40" s="40"/>
      <c r="B40" s="41"/>
      <c r="C40" s="41" t="s">
        <v>145</v>
      </c>
      <c r="D40" s="42" t="s">
        <v>144</v>
      </c>
      <c r="E40" s="10">
        <f>Source!DO28</f>
        <v>64</v>
      </c>
      <c r="F40" s="44"/>
      <c r="G40" s="43"/>
      <c r="H40" s="10"/>
      <c r="I40" s="45">
        <f>SUM(S34:S39)</f>
        <v>189.97</v>
      </c>
      <c r="J40" s="10">
        <f>Source!CA28</f>
        <v>44</v>
      </c>
      <c r="K40" s="45">
        <f>SUM(T34:T39)</f>
        <v>2171.99</v>
      </c>
    </row>
    <row r="41" spans="1:11" ht="14.25">
      <c r="A41" s="40"/>
      <c r="B41" s="41"/>
      <c r="C41" s="41" t="s">
        <v>146</v>
      </c>
      <c r="D41" s="42" t="s">
        <v>144</v>
      </c>
      <c r="E41" s="10">
        <f>175</f>
        <v>175</v>
      </c>
      <c r="F41" s="44"/>
      <c r="G41" s="43"/>
      <c r="H41" s="10"/>
      <c r="I41" s="45">
        <f>SUM(U34:U40)</f>
        <v>31.62</v>
      </c>
      <c r="J41" s="10">
        <f>169</f>
        <v>169</v>
      </c>
      <c r="K41" s="45">
        <f>SUM(V34:V40)</f>
        <v>507.88</v>
      </c>
    </row>
    <row r="42" spans="1:11" ht="14.25">
      <c r="A42" s="40"/>
      <c r="B42" s="41"/>
      <c r="C42" s="41" t="s">
        <v>147</v>
      </c>
      <c r="D42" s="42" t="s">
        <v>148</v>
      </c>
      <c r="E42" s="10">
        <f>Source!AQ28</f>
        <v>6.3</v>
      </c>
      <c r="F42" s="44"/>
      <c r="G42" s="43">
        <f>Source!DI28</f>
      </c>
      <c r="H42" s="10">
        <f>Source!AV28</f>
        <v>1.047</v>
      </c>
      <c r="I42" s="45">
        <f>Source!U28</f>
        <v>29.042628299999993</v>
      </c>
      <c r="J42" s="10"/>
      <c r="K42" s="45"/>
    </row>
    <row r="43" spans="1:27" ht="15">
      <c r="A43" s="50"/>
      <c r="B43" s="50"/>
      <c r="C43" s="50"/>
      <c r="D43" s="50"/>
      <c r="E43" s="50"/>
      <c r="F43" s="50"/>
      <c r="G43" s="50"/>
      <c r="H43" s="51">
        <f>I35+I36+I38+I39+I40+I41</f>
        <v>1061.9799999999998</v>
      </c>
      <c r="I43" s="51"/>
      <c r="J43" s="51">
        <f>K35+K36+K38+K39+K40+K41</f>
        <v>12877.649999999998</v>
      </c>
      <c r="K43" s="51"/>
      <c r="O43" s="47">
        <f>H43</f>
        <v>1061.9799999999998</v>
      </c>
      <c r="P43" s="47">
        <f>J43</f>
        <v>12877.649999999998</v>
      </c>
      <c r="X43">
        <f>IF(Source!BI28&lt;=1,I35+I36+I38+I39+I40+I41,0)</f>
        <v>1061.9799999999998</v>
      </c>
      <c r="Y43">
        <f>IF(Source!BI28=2,I35+I36+I38+I39+I40+I41,0)</f>
        <v>0</v>
      </c>
      <c r="Z43">
        <f>IF(Source!BI28=3,I35+I36+I38+I39+I40+I41,0)</f>
        <v>0</v>
      </c>
      <c r="AA43">
        <f>IF(Source!BI28=4,I35+I36+I38+I39+I40+I41,0)</f>
        <v>0</v>
      </c>
    </row>
    <row r="44" spans="1:22" ht="28.5">
      <c r="A44" s="40" t="str">
        <f>Source!E29</f>
        <v>3</v>
      </c>
      <c r="B44" s="41" t="str">
        <f>Source!F29</f>
        <v>2.1-4-68</v>
      </c>
      <c r="C44" s="41" t="str">
        <f>Source!G29</f>
        <v>ЛЮЛЬКИ ЭЛЕКТРИЧЕСКИЕ, ГРУЗОПОДЪЕМНОСТЬ ДО 300 КГ</v>
      </c>
      <c r="D44" s="42" t="str">
        <f>Source!H29</f>
        <v>маш.-ч</v>
      </c>
      <c r="E44" s="10">
        <f>Source!I29</f>
        <v>-15.4105</v>
      </c>
      <c r="F44" s="44"/>
      <c r="G44" s="43"/>
      <c r="H44" s="10"/>
      <c r="I44" s="45"/>
      <c r="J44" s="10"/>
      <c r="K44" s="45"/>
      <c r="Q44">
        <f>ROUND((Source!DN29/100)*ROUND((Source!AF29*Source!AV29)*Source!I29,2),2)</f>
        <v>0</v>
      </c>
      <c r="R44">
        <f>Source!X29</f>
        <v>0</v>
      </c>
      <c r="S44">
        <f>ROUND((Source!DO29/100)*ROUND((Source!AF29*Source!AV29)*Source!I29,2),2)</f>
        <v>0</v>
      </c>
      <c r="T44">
        <f>Source!Y29</f>
        <v>0</v>
      </c>
      <c r="U44">
        <f>ROUND((175/100)*ROUND((Source!AE29*Source!AV29)*Source!I29,2),2)</f>
        <v>-30.21</v>
      </c>
      <c r="V44">
        <f>ROUND((169/100)*ROUND(Source!CS29*Source!I29,2),2)</f>
        <v>-485.08</v>
      </c>
    </row>
    <row r="45" spans="1:11" ht="14.25">
      <c r="A45" s="40"/>
      <c r="B45" s="41"/>
      <c r="C45" s="41" t="s">
        <v>140</v>
      </c>
      <c r="D45" s="42"/>
      <c r="E45" s="10"/>
      <c r="F45" s="44">
        <f>Source!AM29</f>
        <v>12.5</v>
      </c>
      <c r="G45" s="43">
        <f>Source!DE29</f>
      </c>
      <c r="H45" s="10">
        <f>Source!AV29</f>
        <v>1</v>
      </c>
      <c r="I45" s="45">
        <f>ROUND((Source!AD29*Source!AV29)*Source!I29,2)</f>
        <v>-192.63</v>
      </c>
      <c r="J45" s="10">
        <f>IF(Source!BB29&lt;&gt;0,Source!BB29,1)</f>
        <v>4.84</v>
      </c>
      <c r="K45" s="45">
        <f>Source!Q29</f>
        <v>-932.34</v>
      </c>
    </row>
    <row r="46" spans="1:23" ht="14.25">
      <c r="A46" s="40"/>
      <c r="B46" s="41"/>
      <c r="C46" s="41" t="s">
        <v>141</v>
      </c>
      <c r="D46" s="42"/>
      <c r="E46" s="10"/>
      <c r="F46" s="44">
        <f>Source!AN29</f>
        <v>1.12</v>
      </c>
      <c r="G46" s="43">
        <f>Source!DF29</f>
      </c>
      <c r="H46" s="10">
        <f>Source!AV29</f>
        <v>1</v>
      </c>
      <c r="I46" s="46">
        <f>ROUND((Source!AE29*Source!AV29)*Source!I29,2)</f>
        <v>-17.26</v>
      </c>
      <c r="J46" s="10">
        <f>IF(Source!BS29&lt;&gt;0,Source!BS29,1)</f>
        <v>16.63</v>
      </c>
      <c r="K46" s="46">
        <f>Source!R29</f>
        <v>-287.03</v>
      </c>
      <c r="W46">
        <f>ROUND((Source!AE29*Source!AV29)*Source!I29,2)</f>
        <v>-17.26</v>
      </c>
    </row>
    <row r="47" spans="1:11" ht="14.25">
      <c r="A47" s="40"/>
      <c r="B47" s="41"/>
      <c r="C47" s="41" t="s">
        <v>146</v>
      </c>
      <c r="D47" s="42" t="s">
        <v>144</v>
      </c>
      <c r="E47" s="10">
        <f>175</f>
        <v>175</v>
      </c>
      <c r="F47" s="44"/>
      <c r="G47" s="43"/>
      <c r="H47" s="10"/>
      <c r="I47" s="45">
        <f>SUM(U44:U46)</f>
        <v>-30.21</v>
      </c>
      <c r="J47" s="10">
        <f>169</f>
        <v>169</v>
      </c>
      <c r="K47" s="45">
        <f>SUM(V44:V46)</f>
        <v>-485.08</v>
      </c>
    </row>
    <row r="48" spans="1:27" ht="15">
      <c r="A48" s="50"/>
      <c r="B48" s="50"/>
      <c r="C48" s="50"/>
      <c r="D48" s="50"/>
      <c r="E48" s="50"/>
      <c r="F48" s="50"/>
      <c r="G48" s="50"/>
      <c r="H48" s="51">
        <f>I45+I47</f>
        <v>-222.84</v>
      </c>
      <c r="I48" s="51"/>
      <c r="J48" s="51">
        <f>K45+K47</f>
        <v>-1417.42</v>
      </c>
      <c r="K48" s="51"/>
      <c r="O48" s="47">
        <f>H48</f>
        <v>-222.84</v>
      </c>
      <c r="P48" s="47">
        <f>J48</f>
        <v>-1417.42</v>
      </c>
      <c r="X48">
        <f>IF(Source!BI29&lt;=1,I45+I47,0)</f>
        <v>-222.84</v>
      </c>
      <c r="Y48">
        <f>IF(Source!BI29=2,I45+I47,0)</f>
        <v>0</v>
      </c>
      <c r="Z48">
        <f>IF(Source!BI29=3,I45+I47,0)</f>
        <v>0</v>
      </c>
      <c r="AA48">
        <f>IF(Source!BI29=4,I45+I47,0)</f>
        <v>0</v>
      </c>
    </row>
    <row r="49" spans="1:22" ht="57">
      <c r="A49" s="40" t="str">
        <f>Source!E30</f>
        <v>5</v>
      </c>
      <c r="B49" s="41" t="str">
        <f>Source!F30</f>
        <v>6.69-49-1</v>
      </c>
      <c r="C49" s="41" t="str">
        <f>Source!G30</f>
        <v>НАВЕСКА И РАЗБОРКА АЛЬПИНИСТСКОГО СНАРЯЖЕНИЯ ДЛЯ ПРОВЕДЕНИЯ ВЫСОТНЫХ РАБОТ, ПЕРВИЧНАЯ НАВЕСКА</v>
      </c>
      <c r="D49" s="42" t="str">
        <f>Source!H30</f>
        <v>шт.</v>
      </c>
      <c r="E49" s="10">
        <f>Source!I30</f>
        <v>3</v>
      </c>
      <c r="F49" s="44"/>
      <c r="G49" s="43"/>
      <c r="H49" s="10"/>
      <c r="I49" s="45"/>
      <c r="J49" s="10"/>
      <c r="K49" s="45"/>
      <c r="Q49">
        <f>ROUND((Source!DN30/100)*ROUND((Source!AF30*Source!AV30)*Source!I30,2),2)</f>
        <v>148.05</v>
      </c>
      <c r="R49">
        <f>Source!X30</f>
        <v>2056.2</v>
      </c>
      <c r="S49">
        <f>ROUND((Source!DO30/100)*ROUND((Source!AF30*Source!AV30)*Source!I30,2),2)</f>
        <v>113.88</v>
      </c>
      <c r="T49">
        <f>Source!Y30</f>
        <v>1190.43</v>
      </c>
      <c r="U49">
        <f>ROUND((175/100)*ROUND((Source!AE30*Source!AV30)*Source!I30,2),2)</f>
        <v>0</v>
      </c>
      <c r="V49">
        <f>ROUND((169/100)*ROUND(Source!CS30*Source!I30,2),2)</f>
        <v>0</v>
      </c>
    </row>
    <row r="50" spans="1:23" ht="14.25">
      <c r="A50" s="40"/>
      <c r="B50" s="41"/>
      <c r="C50" s="41" t="s">
        <v>139</v>
      </c>
      <c r="D50" s="42"/>
      <c r="E50" s="10"/>
      <c r="F50" s="44">
        <f>Source!AO30</f>
        <v>54.23</v>
      </c>
      <c r="G50" s="43">
        <f>Source!DG30</f>
      </c>
      <c r="H50" s="10">
        <f>Source!AV30</f>
        <v>1</v>
      </c>
      <c r="I50" s="45">
        <f>ROUND((Source!AF30*Source!AV30)*Source!I30,2)</f>
        <v>162.69</v>
      </c>
      <c r="J50" s="10">
        <f>IF(Source!BA30&lt;&gt;0,Source!BA30,1)</f>
        <v>16.63</v>
      </c>
      <c r="K50" s="45">
        <f>Source!S30</f>
        <v>2705.53</v>
      </c>
      <c r="W50">
        <f>ROUND((Source!AF30*Source!AV30)*Source!I30,2)</f>
        <v>162.69</v>
      </c>
    </row>
    <row r="51" spans="1:11" ht="14.25">
      <c r="A51" s="40"/>
      <c r="B51" s="41"/>
      <c r="C51" s="41" t="s">
        <v>143</v>
      </c>
      <c r="D51" s="42" t="s">
        <v>144</v>
      </c>
      <c r="E51" s="10">
        <f>Source!DN30</f>
        <v>91</v>
      </c>
      <c r="F51" s="44"/>
      <c r="G51" s="43"/>
      <c r="H51" s="10"/>
      <c r="I51" s="45">
        <f>SUM(Q49:Q50)</f>
        <v>148.05</v>
      </c>
      <c r="J51" s="10">
        <f>Source!BZ30</f>
        <v>76</v>
      </c>
      <c r="K51" s="45">
        <f>SUM(R49:R50)</f>
        <v>2056.2</v>
      </c>
    </row>
    <row r="52" spans="1:11" ht="14.25">
      <c r="A52" s="40"/>
      <c r="B52" s="41"/>
      <c r="C52" s="41" t="s">
        <v>145</v>
      </c>
      <c r="D52" s="42" t="s">
        <v>144</v>
      </c>
      <c r="E52" s="10">
        <f>Source!DO30</f>
        <v>70</v>
      </c>
      <c r="F52" s="44"/>
      <c r="G52" s="43"/>
      <c r="H52" s="10"/>
      <c r="I52" s="45">
        <f>SUM(S49:S51)</f>
        <v>113.88</v>
      </c>
      <c r="J52" s="10">
        <f>Source!CA30</f>
        <v>44</v>
      </c>
      <c r="K52" s="45">
        <f>SUM(T49:T51)</f>
        <v>1190.43</v>
      </c>
    </row>
    <row r="53" spans="1:11" ht="14.25">
      <c r="A53" s="40"/>
      <c r="B53" s="41"/>
      <c r="C53" s="41" t="s">
        <v>147</v>
      </c>
      <c r="D53" s="42" t="s">
        <v>148</v>
      </c>
      <c r="E53" s="10">
        <f>Source!AQ30</f>
        <v>3.73</v>
      </c>
      <c r="F53" s="44"/>
      <c r="G53" s="43">
        <f>Source!DI30</f>
      </c>
      <c r="H53" s="10">
        <f>Source!AV30</f>
        <v>1</v>
      </c>
      <c r="I53" s="45">
        <f>Source!U30</f>
        <v>11.19</v>
      </c>
      <c r="J53" s="10"/>
      <c r="K53" s="45"/>
    </row>
    <row r="54" spans="1:27" ht="15">
      <c r="A54" s="50"/>
      <c r="B54" s="50"/>
      <c r="C54" s="50"/>
      <c r="D54" s="50"/>
      <c r="E54" s="50"/>
      <c r="F54" s="50"/>
      <c r="G54" s="50"/>
      <c r="H54" s="51">
        <f>I50+I51+I52</f>
        <v>424.62</v>
      </c>
      <c r="I54" s="51"/>
      <c r="J54" s="51">
        <f>K50+K51+K52</f>
        <v>5952.16</v>
      </c>
      <c r="K54" s="51"/>
      <c r="O54" s="47">
        <f>H54</f>
        <v>424.62</v>
      </c>
      <c r="P54" s="47">
        <f>J54</f>
        <v>5952.16</v>
      </c>
      <c r="X54">
        <f>IF(Source!BI30&lt;=1,I50+I51+I52,0)</f>
        <v>424.62</v>
      </c>
      <c r="Y54">
        <f>IF(Source!BI30=2,I50+I51+I52,0)</f>
        <v>0</v>
      </c>
      <c r="Z54">
        <f>IF(Source!BI30=3,I50+I51+I52,0)</f>
        <v>0</v>
      </c>
      <c r="AA54">
        <f>IF(Source!BI30=4,I50+I51+I52,0)</f>
        <v>0</v>
      </c>
    </row>
    <row r="55" spans="1:22" ht="57">
      <c r="A55" s="40" t="str">
        <f>Source!E31</f>
        <v>6</v>
      </c>
      <c r="B55" s="41" t="str">
        <f>Source!F31</f>
        <v>6.69-49-2</v>
      </c>
      <c r="C55" s="41" t="str">
        <f>Source!G31</f>
        <v>НАВЕСКА И РАЗБОРКА АЛЬПИНИСТСКОГО СНАРЯЖЕНИЯ ДЛЯ ПРОВЕДЕНИЯ ВЫСОТНЫХ РАБОТ, ПЕРЕНАВЕСКА</v>
      </c>
      <c r="D55" s="42" t="str">
        <f>Source!H31</f>
        <v>шт.</v>
      </c>
      <c r="E55" s="10">
        <f>Source!I31</f>
        <v>18</v>
      </c>
      <c r="F55" s="44"/>
      <c r="G55" s="43"/>
      <c r="H55" s="10"/>
      <c r="I55" s="45"/>
      <c r="J55" s="10"/>
      <c r="K55" s="45"/>
      <c r="Q55">
        <f>ROUND((Source!DN31/100)*ROUND((Source!AF31*Source!AV31)*Source!I31,2),2)</f>
        <v>552.5</v>
      </c>
      <c r="R55">
        <f>Source!X31</f>
        <v>7673.52</v>
      </c>
      <c r="S55">
        <f>ROUND((Source!DO31/100)*ROUND((Source!AF31*Source!AV31)*Source!I31,2),2)</f>
        <v>425</v>
      </c>
      <c r="T55">
        <f>Source!Y31</f>
        <v>4442.57</v>
      </c>
      <c r="U55">
        <f>ROUND((175/100)*ROUND((Source!AE31*Source!AV31)*Source!I31,2),2)</f>
        <v>0</v>
      </c>
      <c r="V55">
        <f>ROUND((169/100)*ROUND(Source!CS31*Source!I31,2),2)</f>
        <v>0</v>
      </c>
    </row>
    <row r="56" spans="1:23" ht="14.25">
      <c r="A56" s="40"/>
      <c r="B56" s="41"/>
      <c r="C56" s="41" t="s">
        <v>139</v>
      </c>
      <c r="D56" s="42"/>
      <c r="E56" s="10"/>
      <c r="F56" s="44">
        <f>Source!AO31</f>
        <v>33.73</v>
      </c>
      <c r="G56" s="43">
        <f>Source!DG31</f>
      </c>
      <c r="H56" s="10">
        <f>Source!AV31</f>
        <v>1</v>
      </c>
      <c r="I56" s="45">
        <f>ROUND((Source!AF31*Source!AV31)*Source!I31,2)</f>
        <v>607.14</v>
      </c>
      <c r="J56" s="10">
        <f>IF(Source!BA31&lt;&gt;0,Source!BA31,1)</f>
        <v>16.63</v>
      </c>
      <c r="K56" s="45">
        <f>Source!S31</f>
        <v>10096.74</v>
      </c>
      <c r="W56">
        <f>ROUND((Source!AF31*Source!AV31)*Source!I31,2)</f>
        <v>607.14</v>
      </c>
    </row>
    <row r="57" spans="1:11" ht="14.25">
      <c r="A57" s="40"/>
      <c r="B57" s="41"/>
      <c r="C57" s="41" t="s">
        <v>143</v>
      </c>
      <c r="D57" s="42" t="s">
        <v>144</v>
      </c>
      <c r="E57" s="10">
        <f>Source!DN31</f>
        <v>91</v>
      </c>
      <c r="F57" s="44"/>
      <c r="G57" s="43"/>
      <c r="H57" s="10"/>
      <c r="I57" s="45">
        <f>SUM(Q55:Q56)</f>
        <v>552.5</v>
      </c>
      <c r="J57" s="10">
        <f>Source!BZ31</f>
        <v>76</v>
      </c>
      <c r="K57" s="45">
        <f>SUM(R55:R56)</f>
        <v>7673.52</v>
      </c>
    </row>
    <row r="58" spans="1:11" ht="14.25">
      <c r="A58" s="40"/>
      <c r="B58" s="41"/>
      <c r="C58" s="41" t="s">
        <v>145</v>
      </c>
      <c r="D58" s="42" t="s">
        <v>144</v>
      </c>
      <c r="E58" s="10">
        <f>Source!DO31</f>
        <v>70</v>
      </c>
      <c r="F58" s="44"/>
      <c r="G58" s="43"/>
      <c r="H58" s="10"/>
      <c r="I58" s="45">
        <f>SUM(S55:S57)</f>
        <v>425</v>
      </c>
      <c r="J58" s="10">
        <f>Source!CA31</f>
        <v>44</v>
      </c>
      <c r="K58" s="45">
        <f>SUM(T55:T57)</f>
        <v>4442.57</v>
      </c>
    </row>
    <row r="59" spans="1:11" ht="14.25">
      <c r="A59" s="40"/>
      <c r="B59" s="41"/>
      <c r="C59" s="41" t="s">
        <v>147</v>
      </c>
      <c r="D59" s="42" t="s">
        <v>148</v>
      </c>
      <c r="E59" s="10">
        <f>Source!AQ31</f>
        <v>2.32</v>
      </c>
      <c r="F59" s="44"/>
      <c r="G59" s="43">
        <f>Source!DI31</f>
      </c>
      <c r="H59" s="10">
        <f>Source!AV31</f>
        <v>1</v>
      </c>
      <c r="I59" s="45">
        <f>Source!U31</f>
        <v>41.76</v>
      </c>
      <c r="J59" s="10"/>
      <c r="K59" s="45"/>
    </row>
    <row r="60" spans="1:27" ht="15">
      <c r="A60" s="50"/>
      <c r="B60" s="50"/>
      <c r="C60" s="50"/>
      <c r="D60" s="50"/>
      <c r="E60" s="50"/>
      <c r="F60" s="50"/>
      <c r="G60" s="50"/>
      <c r="H60" s="51">
        <f>I56+I57+I58</f>
        <v>1584.6399999999999</v>
      </c>
      <c r="I60" s="51"/>
      <c r="J60" s="51">
        <f>K56+K57+K58</f>
        <v>22212.83</v>
      </c>
      <c r="K60" s="51"/>
      <c r="O60" s="47">
        <f>H60</f>
        <v>1584.6399999999999</v>
      </c>
      <c r="P60" s="47">
        <f>J60</f>
        <v>22212.83</v>
      </c>
      <c r="X60">
        <f>IF(Source!BI31&lt;=1,I56+I57+I58,0)</f>
        <v>1584.6399999999999</v>
      </c>
      <c r="Y60">
        <f>IF(Source!BI31=2,I56+I57+I58,0)</f>
        <v>0</v>
      </c>
      <c r="Z60">
        <f>IF(Source!BI31=3,I56+I57+I58,0)</f>
        <v>0</v>
      </c>
      <c r="AA60">
        <f>IF(Source!BI31=4,I56+I57+I58,0)</f>
        <v>0</v>
      </c>
    </row>
    <row r="62" spans="1:32" ht="15">
      <c r="A62" s="53" t="str">
        <f>CONCATENATE("Итого по разделу: ",IF(Source!G33&lt;&gt;"Новый раздел",Source!G33,""))</f>
        <v>Итого по разделу: Колымажный пер. 4с1</v>
      </c>
      <c r="B62" s="53"/>
      <c r="C62" s="53"/>
      <c r="D62" s="53"/>
      <c r="E62" s="53"/>
      <c r="F62" s="53"/>
      <c r="G62" s="53"/>
      <c r="H62" s="49">
        <f>SUM(O33:O61)</f>
        <v>2848.3999999999996</v>
      </c>
      <c r="I62" s="52"/>
      <c r="J62" s="49">
        <f>SUM(P33:P61)</f>
        <v>39625.22</v>
      </c>
      <c r="K62" s="52"/>
      <c r="AF62" s="54" t="str">
        <f>CONCATENATE("Итого по разделу: ",IF(Source!G33&lt;&gt;"Новый раздел",Source!G33,""))</f>
        <v>Итого по разделу: Колымажный пер. 4с1</v>
      </c>
    </row>
    <row r="65" spans="1:31" ht="16.5">
      <c r="A65" s="38" t="str">
        <f>CONCATENATE("Раздел: ",IF(Source!G59&lt;&gt;"Новый раздел",Source!G59,""))</f>
        <v>Раздел: Колымажный 2/Волхонка 10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AE65" s="39" t="str">
        <f>CONCATENATE("Раздел: ",IF(Source!G59&lt;&gt;"Новый раздел",Source!G59,""))</f>
        <v>Раздел: Колымажный 2/Волхонка 10</v>
      </c>
    </row>
    <row r="66" spans="1:22" ht="57">
      <c r="A66" s="40" t="str">
        <f>Source!E63</f>
        <v>1</v>
      </c>
      <c r="B66" s="41" t="str">
        <f>Source!F63</f>
        <v>6.62-26-6</v>
      </c>
      <c r="C66" s="41" t="str">
        <f>Source!G63</f>
        <v>ПРОМЫВКА ПОВЕРХНОСТЕЙ ФАСАДОВ С ЭЛЕКТРОЛЮЛЕК, ОКРАШЕННЫХ МАСЛЯНЫМИ КРАСКАМИ</v>
      </c>
      <c r="D66" s="42" t="str">
        <f>Source!H63</f>
        <v>100 м2</v>
      </c>
      <c r="E66" s="10">
        <f>Source!I63</f>
        <v>6.936</v>
      </c>
      <c r="F66" s="44"/>
      <c r="G66" s="43"/>
      <c r="H66" s="10"/>
      <c r="I66" s="45"/>
      <c r="J66" s="10"/>
      <c r="K66" s="45"/>
      <c r="Q66">
        <f>ROUND((Source!DN63/100)*ROUND((Source!AF63*Source!AV63)*Source!I63,2),2)</f>
        <v>467.6</v>
      </c>
      <c r="R66">
        <f>Source!X63</f>
        <v>6531.99</v>
      </c>
      <c r="S66">
        <f>ROUND((Source!DO63/100)*ROUND((Source!AF63*Source!AV63)*Source!I63,2),2)</f>
        <v>299.26</v>
      </c>
      <c r="T66">
        <f>Source!Y63</f>
        <v>3421.52</v>
      </c>
      <c r="U66">
        <f>ROUND((175/100)*ROUND((Source!AE63*Source!AV63)*Source!I63,2),2)</f>
        <v>49.82</v>
      </c>
      <c r="V66">
        <f>ROUND((169/100)*ROUND(Source!CS63*Source!I63,2),2)</f>
        <v>800.06</v>
      </c>
    </row>
    <row r="67" spans="1:23" ht="14.25">
      <c r="A67" s="40"/>
      <c r="B67" s="41"/>
      <c r="C67" s="41" t="s">
        <v>139</v>
      </c>
      <c r="D67" s="42"/>
      <c r="E67" s="10"/>
      <c r="F67" s="44">
        <f>Source!AO63</f>
        <v>64.39</v>
      </c>
      <c r="G67" s="43">
        <f>Source!DG63</f>
      </c>
      <c r="H67" s="10">
        <f>Source!AV63</f>
        <v>1.047</v>
      </c>
      <c r="I67" s="45">
        <f>ROUND((Source!AF63*Source!AV63)*Source!I63,2)</f>
        <v>467.6</v>
      </c>
      <c r="J67" s="10">
        <f>IF(Source!BA63&lt;&gt;0,Source!BA63,1)</f>
        <v>16.63</v>
      </c>
      <c r="K67" s="45">
        <f>Source!S63</f>
        <v>7776.18</v>
      </c>
      <c r="W67">
        <f>ROUND((Source!AF63*Source!AV63)*Source!I63,2)</f>
        <v>467.6</v>
      </c>
    </row>
    <row r="68" spans="1:11" ht="14.25">
      <c r="A68" s="40"/>
      <c r="B68" s="41"/>
      <c r="C68" s="41" t="s">
        <v>140</v>
      </c>
      <c r="D68" s="42"/>
      <c r="E68" s="10"/>
      <c r="F68" s="44">
        <f>Source!AM63</f>
        <v>43.75</v>
      </c>
      <c r="G68" s="43">
        <f>Source!DE63</f>
      </c>
      <c r="H68" s="10">
        <f>Source!AV63</f>
        <v>1.047</v>
      </c>
      <c r="I68" s="45">
        <f>ROUND((Source!AD63*Source!AV63)*Source!I63,2)</f>
        <v>317.71</v>
      </c>
      <c r="J68" s="10">
        <f>IF(Source!BB63&lt;&gt;0,Source!BB63,1)</f>
        <v>4.84</v>
      </c>
      <c r="K68" s="45">
        <f>Source!Q63</f>
        <v>1537.73</v>
      </c>
    </row>
    <row r="69" spans="1:23" ht="14.25">
      <c r="A69" s="40"/>
      <c r="B69" s="41"/>
      <c r="C69" s="41" t="s">
        <v>141</v>
      </c>
      <c r="D69" s="42"/>
      <c r="E69" s="10"/>
      <c r="F69" s="44">
        <f>Source!AN63</f>
        <v>3.92</v>
      </c>
      <c r="G69" s="43">
        <f>Source!DF63</f>
      </c>
      <c r="H69" s="10">
        <f>Source!AV63</f>
        <v>1.047</v>
      </c>
      <c r="I69" s="46">
        <f>ROUND((Source!AE63*Source!AV63)*Source!I63,2)</f>
        <v>28.47</v>
      </c>
      <c r="J69" s="10">
        <f>IF(Source!BS63&lt;&gt;0,Source!BS63,1)</f>
        <v>16.63</v>
      </c>
      <c r="K69" s="46">
        <f>Source!R63</f>
        <v>473.41</v>
      </c>
      <c r="W69">
        <f>ROUND((Source!AE63*Source!AV63)*Source!I63,2)</f>
        <v>28.47</v>
      </c>
    </row>
    <row r="70" spans="1:11" ht="14.25">
      <c r="A70" s="40"/>
      <c r="B70" s="41"/>
      <c r="C70" s="41" t="s">
        <v>142</v>
      </c>
      <c r="D70" s="42"/>
      <c r="E70" s="10"/>
      <c r="F70" s="44">
        <f>Source!AL63</f>
        <v>10.2</v>
      </c>
      <c r="G70" s="43">
        <f>Source!DD63</f>
      </c>
      <c r="H70" s="10">
        <f>Source!AW63</f>
        <v>1.003</v>
      </c>
      <c r="I70" s="45">
        <f>ROUND((Source!AC63*Source!AW63)*Source!I63,2)</f>
        <v>70.96</v>
      </c>
      <c r="J70" s="10">
        <f>IF(Source!BC63&lt;&gt;0,Source!BC63,1)</f>
        <v>3.08</v>
      </c>
      <c r="K70" s="45">
        <f>Source!P63</f>
        <v>218.56</v>
      </c>
    </row>
    <row r="71" spans="1:11" ht="14.25">
      <c r="A71" s="40"/>
      <c r="B71" s="41"/>
      <c r="C71" s="41" t="s">
        <v>143</v>
      </c>
      <c r="D71" s="42" t="s">
        <v>144</v>
      </c>
      <c r="E71" s="10">
        <f>Source!DN63</f>
        <v>100</v>
      </c>
      <c r="F71" s="44"/>
      <c r="G71" s="43"/>
      <c r="H71" s="10"/>
      <c r="I71" s="45">
        <f>SUM(Q66:Q70)</f>
        <v>467.6</v>
      </c>
      <c r="J71" s="10">
        <f>Source!BZ63</f>
        <v>84</v>
      </c>
      <c r="K71" s="45">
        <f>SUM(R66:R70)</f>
        <v>6531.99</v>
      </c>
    </row>
    <row r="72" spans="1:11" ht="14.25">
      <c r="A72" s="40"/>
      <c r="B72" s="41"/>
      <c r="C72" s="41" t="s">
        <v>145</v>
      </c>
      <c r="D72" s="42" t="s">
        <v>144</v>
      </c>
      <c r="E72" s="10">
        <f>Source!DO63</f>
        <v>64</v>
      </c>
      <c r="F72" s="44"/>
      <c r="G72" s="43"/>
      <c r="H72" s="10"/>
      <c r="I72" s="45">
        <f>SUM(S66:S71)</f>
        <v>299.26</v>
      </c>
      <c r="J72" s="10">
        <f>Source!CA63</f>
        <v>44</v>
      </c>
      <c r="K72" s="45">
        <f>SUM(T66:T71)</f>
        <v>3421.52</v>
      </c>
    </row>
    <row r="73" spans="1:11" ht="14.25">
      <c r="A73" s="40"/>
      <c r="B73" s="41"/>
      <c r="C73" s="41" t="s">
        <v>146</v>
      </c>
      <c r="D73" s="42" t="s">
        <v>144</v>
      </c>
      <c r="E73" s="10">
        <f>175</f>
        <v>175</v>
      </c>
      <c r="F73" s="44"/>
      <c r="G73" s="43"/>
      <c r="H73" s="10"/>
      <c r="I73" s="45">
        <f>SUM(U66:U72)</f>
        <v>49.82</v>
      </c>
      <c r="J73" s="10">
        <f>169</f>
        <v>169</v>
      </c>
      <c r="K73" s="45">
        <f>SUM(V66:V72)</f>
        <v>800.06</v>
      </c>
    </row>
    <row r="74" spans="1:11" ht="14.25">
      <c r="A74" s="40"/>
      <c r="B74" s="41"/>
      <c r="C74" s="41" t="s">
        <v>147</v>
      </c>
      <c r="D74" s="42" t="s">
        <v>148</v>
      </c>
      <c r="E74" s="10">
        <f>Source!AQ63</f>
        <v>6.3</v>
      </c>
      <c r="F74" s="44"/>
      <c r="G74" s="43">
        <f>Source!DI63</f>
      </c>
      <c r="H74" s="10">
        <f>Source!AV63</f>
        <v>1.047</v>
      </c>
      <c r="I74" s="45">
        <f>Source!U63</f>
        <v>45.75054959999999</v>
      </c>
      <c r="J74" s="10"/>
      <c r="K74" s="45"/>
    </row>
    <row r="75" spans="1:27" ht="15">
      <c r="A75" s="50"/>
      <c r="B75" s="50"/>
      <c r="C75" s="50"/>
      <c r="D75" s="50"/>
      <c r="E75" s="50"/>
      <c r="F75" s="50"/>
      <c r="G75" s="50"/>
      <c r="H75" s="51">
        <f>I67+I68+I70+I71+I72+I73</f>
        <v>1672.9499999999998</v>
      </c>
      <c r="I75" s="51"/>
      <c r="J75" s="51">
        <f>K67+K68+K70+K71+K72+K73</f>
        <v>20286.04</v>
      </c>
      <c r="K75" s="51"/>
      <c r="O75" s="47">
        <f>H75</f>
        <v>1672.9499999999998</v>
      </c>
      <c r="P75" s="47">
        <f>J75</f>
        <v>20286.04</v>
      </c>
      <c r="X75">
        <f>IF(Source!BI63&lt;=1,I67+I68+I70+I71+I72+I73,0)</f>
        <v>1672.9499999999998</v>
      </c>
      <c r="Y75">
        <f>IF(Source!BI63=2,I67+I68+I70+I71+I72+I73,0)</f>
        <v>0</v>
      </c>
      <c r="Z75">
        <f>IF(Source!BI63=3,I67+I68+I70+I71+I72+I73,0)</f>
        <v>0</v>
      </c>
      <c r="AA75">
        <f>IF(Source!BI63=4,I67+I68+I70+I71+I72+I73,0)</f>
        <v>0</v>
      </c>
    </row>
    <row r="76" spans="1:22" ht="28.5">
      <c r="A76" s="40" t="str">
        <f>Source!E64</f>
        <v>2</v>
      </c>
      <c r="B76" s="41" t="str">
        <f>Source!F64</f>
        <v>2.1-4-68</v>
      </c>
      <c r="C76" s="41" t="str">
        <f>Source!G64</f>
        <v>ЛЮЛЬКИ ЭЛЕКТРИЧЕСКИЕ, ГРУЗОПОДЪЕМНОСТЬ ДО 300 КГ</v>
      </c>
      <c r="D76" s="42" t="str">
        <f>Source!H64</f>
        <v>маш.-ч</v>
      </c>
      <c r="E76" s="10">
        <f>Source!I64</f>
        <v>-24.276</v>
      </c>
      <c r="F76" s="44"/>
      <c r="G76" s="43"/>
      <c r="H76" s="10"/>
      <c r="I76" s="45"/>
      <c r="J76" s="10"/>
      <c r="K76" s="45"/>
      <c r="Q76">
        <f>ROUND((Source!DN64/100)*ROUND((Source!AF64*Source!AV64)*Source!I64,2),2)</f>
        <v>0</v>
      </c>
      <c r="R76">
        <f>Source!X64</f>
        <v>0</v>
      </c>
      <c r="S76">
        <f>ROUND((Source!DO64/100)*ROUND((Source!AF64*Source!AV64)*Source!I64,2),2)</f>
        <v>0</v>
      </c>
      <c r="T76">
        <f>Source!Y64</f>
        <v>0</v>
      </c>
      <c r="U76">
        <f>ROUND((175/100)*ROUND((Source!AE64*Source!AV64)*Source!I64,2),2)</f>
        <v>-47.58</v>
      </c>
      <c r="V76">
        <f>ROUND((169/100)*ROUND(Source!CS64*Source!I64,2),2)</f>
        <v>-764.15</v>
      </c>
    </row>
    <row r="77" spans="1:11" ht="14.25">
      <c r="A77" s="40"/>
      <c r="B77" s="41"/>
      <c r="C77" s="41" t="s">
        <v>140</v>
      </c>
      <c r="D77" s="42"/>
      <c r="E77" s="10"/>
      <c r="F77" s="44">
        <f>Source!AM64</f>
        <v>12.5</v>
      </c>
      <c r="G77" s="43">
        <f>Source!DE64</f>
      </c>
      <c r="H77" s="10">
        <f>Source!AV64</f>
        <v>1</v>
      </c>
      <c r="I77" s="45">
        <f>ROUND((Source!AD64*Source!AV64)*Source!I64,2)</f>
        <v>-303.45</v>
      </c>
      <c r="J77" s="10">
        <f>IF(Source!BB64&lt;&gt;0,Source!BB64,1)</f>
        <v>4.84</v>
      </c>
      <c r="K77" s="45">
        <f>Source!Q64</f>
        <v>-1468.7</v>
      </c>
    </row>
    <row r="78" spans="1:23" ht="14.25">
      <c r="A78" s="40"/>
      <c r="B78" s="41"/>
      <c r="C78" s="41" t="s">
        <v>141</v>
      </c>
      <c r="D78" s="42"/>
      <c r="E78" s="10"/>
      <c r="F78" s="44">
        <f>Source!AN64</f>
        <v>1.12</v>
      </c>
      <c r="G78" s="43">
        <f>Source!DF64</f>
      </c>
      <c r="H78" s="10">
        <f>Source!AV64</f>
        <v>1</v>
      </c>
      <c r="I78" s="46">
        <f>ROUND((Source!AE64*Source!AV64)*Source!I64,2)</f>
        <v>-27.19</v>
      </c>
      <c r="J78" s="10">
        <f>IF(Source!BS64&lt;&gt;0,Source!BS64,1)</f>
        <v>16.63</v>
      </c>
      <c r="K78" s="46">
        <f>Source!R64</f>
        <v>-452.16</v>
      </c>
      <c r="W78">
        <f>ROUND((Source!AE64*Source!AV64)*Source!I64,2)</f>
        <v>-27.19</v>
      </c>
    </row>
    <row r="79" spans="1:11" ht="14.25">
      <c r="A79" s="40"/>
      <c r="B79" s="41"/>
      <c r="C79" s="41" t="s">
        <v>146</v>
      </c>
      <c r="D79" s="42" t="s">
        <v>144</v>
      </c>
      <c r="E79" s="10">
        <f>175</f>
        <v>175</v>
      </c>
      <c r="F79" s="44"/>
      <c r="G79" s="43"/>
      <c r="H79" s="10"/>
      <c r="I79" s="45">
        <f>SUM(U76:U78)</f>
        <v>-47.58</v>
      </c>
      <c r="J79" s="10">
        <f>169</f>
        <v>169</v>
      </c>
      <c r="K79" s="45">
        <f>SUM(V76:V78)</f>
        <v>-764.15</v>
      </c>
    </row>
    <row r="80" spans="1:27" ht="15">
      <c r="A80" s="50"/>
      <c r="B80" s="50"/>
      <c r="C80" s="50"/>
      <c r="D80" s="50"/>
      <c r="E80" s="50"/>
      <c r="F80" s="50"/>
      <c r="G80" s="50"/>
      <c r="H80" s="51">
        <f>I77+I79</f>
        <v>-351.03</v>
      </c>
      <c r="I80" s="51"/>
      <c r="J80" s="51">
        <f>K77+K79</f>
        <v>-2232.85</v>
      </c>
      <c r="K80" s="51"/>
      <c r="O80" s="47">
        <f>H80</f>
        <v>-351.03</v>
      </c>
      <c r="P80" s="47">
        <f>J80</f>
        <v>-2232.85</v>
      </c>
      <c r="X80">
        <f>IF(Source!BI64&lt;=1,I77+I79,0)</f>
        <v>-351.03</v>
      </c>
      <c r="Y80">
        <f>IF(Source!BI64=2,I77+I79,0)</f>
        <v>0</v>
      </c>
      <c r="Z80">
        <f>IF(Source!BI64=3,I77+I79,0)</f>
        <v>0</v>
      </c>
      <c r="AA80">
        <f>IF(Source!BI64=4,I77+I79,0)</f>
        <v>0</v>
      </c>
    </row>
    <row r="81" spans="1:22" ht="57">
      <c r="A81" s="40" t="str">
        <f>Source!E65</f>
        <v>3</v>
      </c>
      <c r="B81" s="41" t="str">
        <f>Source!F65</f>
        <v>6.69-49-1</v>
      </c>
      <c r="C81" s="41" t="str">
        <f>Source!G65</f>
        <v>НАВЕСКА И РАЗБОРКА АЛЬПИНИСТСКОГО СНАРЯЖЕНИЯ ДЛЯ ПРОВЕДЕНИЯ ВЫСОТНЫХ РАБОТ, ПЕРВИЧНАЯ НАВЕСКА</v>
      </c>
      <c r="D81" s="42" t="str">
        <f>Source!H65</f>
        <v>шт.</v>
      </c>
      <c r="E81" s="10">
        <f>Source!I65</f>
        <v>3</v>
      </c>
      <c r="F81" s="44"/>
      <c r="G81" s="43"/>
      <c r="H81" s="10"/>
      <c r="I81" s="45"/>
      <c r="J81" s="10"/>
      <c r="K81" s="45"/>
      <c r="Q81">
        <f>ROUND((Source!DN65/100)*ROUND((Source!AF65*Source!AV65)*Source!I65,2),2)</f>
        <v>148.05</v>
      </c>
      <c r="R81">
        <f>Source!X65</f>
        <v>2056.2</v>
      </c>
      <c r="S81">
        <f>ROUND((Source!DO65/100)*ROUND((Source!AF65*Source!AV65)*Source!I65,2),2)</f>
        <v>113.88</v>
      </c>
      <c r="T81">
        <f>Source!Y65</f>
        <v>1190.43</v>
      </c>
      <c r="U81">
        <f>ROUND((175/100)*ROUND((Source!AE65*Source!AV65)*Source!I65,2),2)</f>
        <v>0</v>
      </c>
      <c r="V81">
        <f>ROUND((169/100)*ROUND(Source!CS65*Source!I65,2),2)</f>
        <v>0</v>
      </c>
    </row>
    <row r="82" spans="1:23" ht="14.25">
      <c r="A82" s="40"/>
      <c r="B82" s="41"/>
      <c r="C82" s="41" t="s">
        <v>139</v>
      </c>
      <c r="D82" s="42"/>
      <c r="E82" s="10"/>
      <c r="F82" s="44">
        <f>Source!AO65</f>
        <v>54.23</v>
      </c>
      <c r="G82" s="43">
        <f>Source!DG65</f>
      </c>
      <c r="H82" s="10">
        <f>Source!AV65</f>
        <v>1</v>
      </c>
      <c r="I82" s="45">
        <f>ROUND((Source!AF65*Source!AV65)*Source!I65,2)</f>
        <v>162.69</v>
      </c>
      <c r="J82" s="10">
        <f>IF(Source!BA65&lt;&gt;0,Source!BA65,1)</f>
        <v>16.63</v>
      </c>
      <c r="K82" s="45">
        <f>Source!S65</f>
        <v>2705.53</v>
      </c>
      <c r="W82">
        <f>ROUND((Source!AF65*Source!AV65)*Source!I65,2)</f>
        <v>162.69</v>
      </c>
    </row>
    <row r="83" spans="1:11" ht="14.25">
      <c r="A83" s="40"/>
      <c r="B83" s="41"/>
      <c r="C83" s="41" t="s">
        <v>143</v>
      </c>
      <c r="D83" s="42" t="s">
        <v>144</v>
      </c>
      <c r="E83" s="10">
        <f>Source!DN65</f>
        <v>91</v>
      </c>
      <c r="F83" s="44"/>
      <c r="G83" s="43"/>
      <c r="H83" s="10"/>
      <c r="I83" s="45">
        <f>SUM(Q81:Q82)</f>
        <v>148.05</v>
      </c>
      <c r="J83" s="10">
        <f>Source!BZ65</f>
        <v>76</v>
      </c>
      <c r="K83" s="45">
        <f>SUM(R81:R82)</f>
        <v>2056.2</v>
      </c>
    </row>
    <row r="84" spans="1:11" ht="14.25">
      <c r="A84" s="40"/>
      <c r="B84" s="41"/>
      <c r="C84" s="41" t="s">
        <v>145</v>
      </c>
      <c r="D84" s="42" t="s">
        <v>144</v>
      </c>
      <c r="E84" s="10">
        <f>Source!DO65</f>
        <v>70</v>
      </c>
      <c r="F84" s="44"/>
      <c r="G84" s="43"/>
      <c r="H84" s="10"/>
      <c r="I84" s="45">
        <f>SUM(S81:S83)</f>
        <v>113.88</v>
      </c>
      <c r="J84" s="10">
        <f>Source!CA65</f>
        <v>44</v>
      </c>
      <c r="K84" s="45">
        <f>SUM(T81:T83)</f>
        <v>1190.43</v>
      </c>
    </row>
    <row r="85" spans="1:11" ht="14.25">
      <c r="A85" s="40"/>
      <c r="B85" s="41"/>
      <c r="C85" s="41" t="s">
        <v>147</v>
      </c>
      <c r="D85" s="42" t="s">
        <v>148</v>
      </c>
      <c r="E85" s="10">
        <f>Source!AQ65</f>
        <v>3.73</v>
      </c>
      <c r="F85" s="44"/>
      <c r="G85" s="43">
        <f>Source!DI65</f>
      </c>
      <c r="H85" s="10">
        <f>Source!AV65</f>
        <v>1</v>
      </c>
      <c r="I85" s="45">
        <f>Source!U65</f>
        <v>11.19</v>
      </c>
      <c r="J85" s="10"/>
      <c r="K85" s="45"/>
    </row>
    <row r="86" spans="1:27" ht="15">
      <c r="A86" s="50"/>
      <c r="B86" s="50"/>
      <c r="C86" s="50"/>
      <c r="D86" s="50"/>
      <c r="E86" s="50"/>
      <c r="F86" s="50"/>
      <c r="G86" s="50"/>
      <c r="H86" s="51">
        <f>I82+I83+I84</f>
        <v>424.62</v>
      </c>
      <c r="I86" s="51"/>
      <c r="J86" s="51">
        <f>K82+K83+K84</f>
        <v>5952.16</v>
      </c>
      <c r="K86" s="51"/>
      <c r="O86" s="47">
        <f>H86</f>
        <v>424.62</v>
      </c>
      <c r="P86" s="47">
        <f>J86</f>
        <v>5952.16</v>
      </c>
      <c r="X86">
        <f>IF(Source!BI65&lt;=1,I82+I83+I84,0)</f>
        <v>424.62</v>
      </c>
      <c r="Y86">
        <f>IF(Source!BI65=2,I82+I83+I84,0)</f>
        <v>0</v>
      </c>
      <c r="Z86">
        <f>IF(Source!BI65=3,I82+I83+I84,0)</f>
        <v>0</v>
      </c>
      <c r="AA86">
        <f>IF(Source!BI65=4,I82+I83+I84,0)</f>
        <v>0</v>
      </c>
    </row>
    <row r="87" spans="1:22" ht="57">
      <c r="A87" s="40" t="str">
        <f>Source!E66</f>
        <v>4</v>
      </c>
      <c r="B87" s="41" t="str">
        <f>Source!F66</f>
        <v>6.69-49-2</v>
      </c>
      <c r="C87" s="41" t="str">
        <f>Source!G66</f>
        <v>НАВЕСКА И РАЗБОРКА АЛЬПИНИСТСКОГО СНАРЯЖЕНИЯ ДЛЯ ПРОВЕДЕНИЯ ВЫСОТНЫХ РАБОТ, ПЕРЕНАВЕСКА</v>
      </c>
      <c r="D87" s="42" t="str">
        <f>Source!H66</f>
        <v>шт.</v>
      </c>
      <c r="E87" s="10">
        <f>Source!I66</f>
        <v>29</v>
      </c>
      <c r="F87" s="44"/>
      <c r="G87" s="43"/>
      <c r="H87" s="10"/>
      <c r="I87" s="45"/>
      <c r="J87" s="10"/>
      <c r="K87" s="45"/>
      <c r="Q87">
        <f>ROUND((Source!DN66/100)*ROUND((Source!AF66*Source!AV66)*Source!I66,2),2)</f>
        <v>890.13</v>
      </c>
      <c r="R87">
        <f>Source!X66</f>
        <v>12362.9</v>
      </c>
      <c r="S87">
        <f>ROUND((Source!DO66/100)*ROUND((Source!AF66*Source!AV66)*Source!I66,2),2)</f>
        <v>684.72</v>
      </c>
      <c r="T87">
        <f>Source!Y66</f>
        <v>7157.47</v>
      </c>
      <c r="U87">
        <f>ROUND((175/100)*ROUND((Source!AE66*Source!AV66)*Source!I66,2),2)</f>
        <v>0</v>
      </c>
      <c r="V87">
        <f>ROUND((169/100)*ROUND(Source!CS66*Source!I66,2),2)</f>
        <v>0</v>
      </c>
    </row>
    <row r="88" spans="1:23" ht="14.25">
      <c r="A88" s="40"/>
      <c r="B88" s="41"/>
      <c r="C88" s="41" t="s">
        <v>139</v>
      </c>
      <c r="D88" s="42"/>
      <c r="E88" s="10"/>
      <c r="F88" s="44">
        <f>Source!AO66</f>
        <v>33.73</v>
      </c>
      <c r="G88" s="43">
        <f>Source!DG66</f>
      </c>
      <c r="H88" s="10">
        <f>Source!AV66</f>
        <v>1</v>
      </c>
      <c r="I88" s="45">
        <f>ROUND((Source!AF66*Source!AV66)*Source!I66,2)</f>
        <v>978.17</v>
      </c>
      <c r="J88" s="10">
        <f>IF(Source!BA66&lt;&gt;0,Source!BA66,1)</f>
        <v>16.63</v>
      </c>
      <c r="K88" s="45">
        <f>Source!S66</f>
        <v>16266.97</v>
      </c>
      <c r="W88">
        <f>ROUND((Source!AF66*Source!AV66)*Source!I66,2)</f>
        <v>978.17</v>
      </c>
    </row>
    <row r="89" spans="1:11" ht="14.25">
      <c r="A89" s="40"/>
      <c r="B89" s="41"/>
      <c r="C89" s="41" t="s">
        <v>143</v>
      </c>
      <c r="D89" s="42" t="s">
        <v>144</v>
      </c>
      <c r="E89" s="10">
        <f>Source!DN66</f>
        <v>91</v>
      </c>
      <c r="F89" s="44"/>
      <c r="G89" s="43"/>
      <c r="H89" s="10"/>
      <c r="I89" s="45">
        <f>SUM(Q87:Q88)</f>
        <v>890.13</v>
      </c>
      <c r="J89" s="10">
        <f>Source!BZ66</f>
        <v>76</v>
      </c>
      <c r="K89" s="45">
        <f>SUM(R87:R88)</f>
        <v>12362.9</v>
      </c>
    </row>
    <row r="90" spans="1:11" ht="14.25">
      <c r="A90" s="40"/>
      <c r="B90" s="41"/>
      <c r="C90" s="41" t="s">
        <v>145</v>
      </c>
      <c r="D90" s="42" t="s">
        <v>144</v>
      </c>
      <c r="E90" s="10">
        <f>Source!DO66</f>
        <v>70</v>
      </c>
      <c r="F90" s="44"/>
      <c r="G90" s="43"/>
      <c r="H90" s="10"/>
      <c r="I90" s="45">
        <f>SUM(S87:S89)</f>
        <v>684.72</v>
      </c>
      <c r="J90" s="10">
        <f>Source!CA66</f>
        <v>44</v>
      </c>
      <c r="K90" s="45">
        <f>SUM(T87:T89)</f>
        <v>7157.47</v>
      </c>
    </row>
    <row r="91" spans="1:11" ht="14.25">
      <c r="A91" s="40"/>
      <c r="B91" s="41"/>
      <c r="C91" s="41" t="s">
        <v>147</v>
      </c>
      <c r="D91" s="42" t="s">
        <v>148</v>
      </c>
      <c r="E91" s="10">
        <f>Source!AQ66</f>
        <v>2.32</v>
      </c>
      <c r="F91" s="44"/>
      <c r="G91" s="43">
        <f>Source!DI66</f>
      </c>
      <c r="H91" s="10">
        <f>Source!AV66</f>
        <v>1</v>
      </c>
      <c r="I91" s="45">
        <f>Source!U66</f>
        <v>67.28</v>
      </c>
      <c r="J91" s="10"/>
      <c r="K91" s="45"/>
    </row>
    <row r="92" spans="1:27" ht="15">
      <c r="A92" s="50"/>
      <c r="B92" s="50"/>
      <c r="C92" s="50"/>
      <c r="D92" s="50"/>
      <c r="E92" s="50"/>
      <c r="F92" s="50"/>
      <c r="G92" s="50"/>
      <c r="H92" s="51">
        <f>I88+I89+I90</f>
        <v>2553.02</v>
      </c>
      <c r="I92" s="51"/>
      <c r="J92" s="51">
        <f>K88+K89+K90</f>
        <v>35787.34</v>
      </c>
      <c r="K92" s="51"/>
      <c r="O92" s="47">
        <f>H92</f>
        <v>2553.02</v>
      </c>
      <c r="P92" s="47">
        <f>J92</f>
        <v>35787.34</v>
      </c>
      <c r="X92">
        <f>IF(Source!BI66&lt;=1,I88+I89+I90,0)</f>
        <v>2553.02</v>
      </c>
      <c r="Y92">
        <f>IF(Source!BI66=2,I88+I89+I90,0)</f>
        <v>0</v>
      </c>
      <c r="Z92">
        <f>IF(Source!BI66=3,I88+I89+I90,0)</f>
        <v>0</v>
      </c>
      <c r="AA92">
        <f>IF(Source!BI66=4,I88+I89+I90,0)</f>
        <v>0</v>
      </c>
    </row>
    <row r="94" spans="1:32" ht="15">
      <c r="A94" s="53" t="str">
        <f>CONCATENATE("Итого по разделу: ",IF(Source!G68&lt;&gt;"Новый раздел",Source!G68,""))</f>
        <v>Итого по разделу: Колымажный 2/Волхонка 10</v>
      </c>
      <c r="B94" s="53"/>
      <c r="C94" s="53"/>
      <c r="D94" s="53"/>
      <c r="E94" s="53"/>
      <c r="F94" s="53"/>
      <c r="G94" s="53"/>
      <c r="H94" s="49">
        <f>SUM(O65:O93)</f>
        <v>4299.5599999999995</v>
      </c>
      <c r="I94" s="52"/>
      <c r="J94" s="49">
        <f>SUM(P65:P93)</f>
        <v>59792.69</v>
      </c>
      <c r="K94" s="52"/>
      <c r="AF94" s="54" t="str">
        <f>CONCATENATE("Итого по разделу: ",IF(Source!G68&lt;&gt;"Новый раздел",Source!G68,""))</f>
        <v>Итого по разделу: Колымажный 2/Волхонка 10</v>
      </c>
    </row>
    <row r="97" spans="1:31" ht="16.5">
      <c r="A97" s="38" t="str">
        <f>CONCATENATE("Раздел: ",IF(Source!G94&lt;&gt;"Новый раздел",Source!G94,""))</f>
        <v>Раздел: Волхонка 8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AE97" s="39" t="str">
        <f>CONCATENATE("Раздел: ",IF(Source!G94&lt;&gt;"Новый раздел",Source!G94,""))</f>
        <v>Раздел: Волхонка 8</v>
      </c>
    </row>
    <row r="98" spans="1:22" ht="57">
      <c r="A98" s="40" t="str">
        <f>Source!E98</f>
        <v>1</v>
      </c>
      <c r="B98" s="41" t="str">
        <f>Source!F98</f>
        <v>6.62-26-6</v>
      </c>
      <c r="C98" s="41" t="str">
        <f>Source!G98</f>
        <v>ПРОМЫВКА ПОВЕРХНОСТЕЙ ФАСАДОВ С ЭЛЕКТРОЛЮЛЕК, ОКРАШЕННЫХ МАСЛЯНЫМИ КРАСКАМИ</v>
      </c>
      <c r="D98" s="42" t="str">
        <f>Source!H98</f>
        <v>100 м2</v>
      </c>
      <c r="E98" s="10">
        <f>Source!I98</f>
        <v>6.157</v>
      </c>
      <c r="F98" s="44"/>
      <c r="G98" s="43"/>
      <c r="H98" s="10"/>
      <c r="I98" s="45"/>
      <c r="J98" s="10"/>
      <c r="K98" s="45"/>
      <c r="Q98">
        <f>ROUND((Source!DN98/100)*ROUND((Source!AF98*Source!AV98)*Source!I98,2),2)</f>
        <v>415.08</v>
      </c>
      <c r="R98">
        <f>Source!X98</f>
        <v>5798.37</v>
      </c>
      <c r="S98">
        <f>ROUND((Source!DO98/100)*ROUND((Source!AF98*Source!AV98)*Source!I98,2),2)</f>
        <v>265.65</v>
      </c>
      <c r="T98">
        <f>Source!Y98</f>
        <v>3037.24</v>
      </c>
      <c r="U98">
        <f>ROUND((175/100)*ROUND((Source!AE98*Source!AV98)*Source!I98,2),2)</f>
        <v>44.22</v>
      </c>
      <c r="V98">
        <f>ROUND((169/100)*ROUND(Source!CS98*Source!I98,2),2)</f>
        <v>710.21</v>
      </c>
    </row>
    <row r="99" spans="1:23" ht="14.25">
      <c r="A99" s="40"/>
      <c r="B99" s="41"/>
      <c r="C99" s="41" t="s">
        <v>139</v>
      </c>
      <c r="D99" s="42"/>
      <c r="E99" s="10"/>
      <c r="F99" s="44">
        <f>Source!AO98</f>
        <v>64.39</v>
      </c>
      <c r="G99" s="43">
        <f>Source!DG98</f>
      </c>
      <c r="H99" s="10">
        <f>Source!AV98</f>
        <v>1.047</v>
      </c>
      <c r="I99" s="45">
        <f>ROUND((Source!AF98*Source!AV98)*Source!I98,2)</f>
        <v>415.08</v>
      </c>
      <c r="J99" s="10">
        <f>IF(Source!BA98&lt;&gt;0,Source!BA98,1)</f>
        <v>16.63</v>
      </c>
      <c r="K99" s="45">
        <f>Source!S98</f>
        <v>6902.82</v>
      </c>
      <c r="W99">
        <f>ROUND((Source!AF98*Source!AV98)*Source!I98,2)</f>
        <v>415.08</v>
      </c>
    </row>
    <row r="100" spans="1:11" ht="14.25">
      <c r="A100" s="40"/>
      <c r="B100" s="41"/>
      <c r="C100" s="41" t="s">
        <v>140</v>
      </c>
      <c r="D100" s="42"/>
      <c r="E100" s="10"/>
      <c r="F100" s="44">
        <f>Source!AM98</f>
        <v>43.75</v>
      </c>
      <c r="G100" s="43">
        <f>Source!DE98</f>
      </c>
      <c r="H100" s="10">
        <f>Source!AV98</f>
        <v>1.047</v>
      </c>
      <c r="I100" s="45">
        <f>ROUND((Source!AD98*Source!AV98)*Source!I98,2)</f>
        <v>282.03</v>
      </c>
      <c r="J100" s="10">
        <f>IF(Source!BB98&lt;&gt;0,Source!BB98,1)</f>
        <v>4.84</v>
      </c>
      <c r="K100" s="45">
        <f>Source!Q98</f>
        <v>1365.02</v>
      </c>
    </row>
    <row r="101" spans="1:23" ht="14.25">
      <c r="A101" s="40"/>
      <c r="B101" s="41"/>
      <c r="C101" s="41" t="s">
        <v>141</v>
      </c>
      <c r="D101" s="42"/>
      <c r="E101" s="10"/>
      <c r="F101" s="44">
        <f>Source!AN98</f>
        <v>3.92</v>
      </c>
      <c r="G101" s="43">
        <f>Source!DF98</f>
      </c>
      <c r="H101" s="10">
        <f>Source!AV98</f>
        <v>1.047</v>
      </c>
      <c r="I101" s="46">
        <f>ROUND((Source!AE98*Source!AV98)*Source!I98,2)</f>
        <v>25.27</v>
      </c>
      <c r="J101" s="10">
        <f>IF(Source!BS98&lt;&gt;0,Source!BS98,1)</f>
        <v>16.63</v>
      </c>
      <c r="K101" s="46">
        <f>Source!R98</f>
        <v>420.24</v>
      </c>
      <c r="W101">
        <f>ROUND((Source!AE98*Source!AV98)*Source!I98,2)</f>
        <v>25.27</v>
      </c>
    </row>
    <row r="102" spans="1:11" ht="14.25">
      <c r="A102" s="40"/>
      <c r="B102" s="41"/>
      <c r="C102" s="41" t="s">
        <v>142</v>
      </c>
      <c r="D102" s="42"/>
      <c r="E102" s="10"/>
      <c r="F102" s="44">
        <f>Source!AL98</f>
        <v>10.2</v>
      </c>
      <c r="G102" s="43">
        <f>Source!DD98</f>
      </c>
      <c r="H102" s="10">
        <f>Source!AW98</f>
        <v>1.003</v>
      </c>
      <c r="I102" s="45">
        <f>ROUND((Source!AC98*Source!AW98)*Source!I98,2)</f>
        <v>62.99</v>
      </c>
      <c r="J102" s="10">
        <f>IF(Source!BC98&lt;&gt;0,Source!BC98,1)</f>
        <v>3.08</v>
      </c>
      <c r="K102" s="45">
        <f>Source!P98</f>
        <v>194.01</v>
      </c>
    </row>
    <row r="103" spans="1:11" ht="14.25">
      <c r="A103" s="40"/>
      <c r="B103" s="41"/>
      <c r="C103" s="41" t="s">
        <v>143</v>
      </c>
      <c r="D103" s="42" t="s">
        <v>144</v>
      </c>
      <c r="E103" s="10">
        <f>Source!DN98</f>
        <v>100</v>
      </c>
      <c r="F103" s="44"/>
      <c r="G103" s="43"/>
      <c r="H103" s="10"/>
      <c r="I103" s="45">
        <f>SUM(Q98:Q102)</f>
        <v>415.08</v>
      </c>
      <c r="J103" s="10">
        <f>Source!BZ98</f>
        <v>84</v>
      </c>
      <c r="K103" s="45">
        <f>SUM(R98:R102)</f>
        <v>5798.37</v>
      </c>
    </row>
    <row r="104" spans="1:11" ht="14.25">
      <c r="A104" s="40"/>
      <c r="B104" s="41"/>
      <c r="C104" s="41" t="s">
        <v>145</v>
      </c>
      <c r="D104" s="42" t="s">
        <v>144</v>
      </c>
      <c r="E104" s="10">
        <f>Source!DO98</f>
        <v>64</v>
      </c>
      <c r="F104" s="44"/>
      <c r="G104" s="43"/>
      <c r="H104" s="10"/>
      <c r="I104" s="45">
        <f>SUM(S98:S103)</f>
        <v>265.65</v>
      </c>
      <c r="J104" s="10">
        <f>Source!CA98</f>
        <v>44</v>
      </c>
      <c r="K104" s="45">
        <f>SUM(T98:T103)</f>
        <v>3037.24</v>
      </c>
    </row>
    <row r="105" spans="1:11" ht="14.25">
      <c r="A105" s="40"/>
      <c r="B105" s="41"/>
      <c r="C105" s="41" t="s">
        <v>146</v>
      </c>
      <c r="D105" s="42" t="s">
        <v>144</v>
      </c>
      <c r="E105" s="10">
        <f>175</f>
        <v>175</v>
      </c>
      <c r="F105" s="44"/>
      <c r="G105" s="43"/>
      <c r="H105" s="10"/>
      <c r="I105" s="45">
        <f>SUM(U98:U104)</f>
        <v>44.22</v>
      </c>
      <c r="J105" s="10">
        <f>169</f>
        <v>169</v>
      </c>
      <c r="K105" s="45">
        <f>SUM(V98:V104)</f>
        <v>710.21</v>
      </c>
    </row>
    <row r="106" spans="1:11" ht="14.25">
      <c r="A106" s="40"/>
      <c r="B106" s="41"/>
      <c r="C106" s="41" t="s">
        <v>147</v>
      </c>
      <c r="D106" s="42" t="s">
        <v>148</v>
      </c>
      <c r="E106" s="10">
        <f>Source!AQ98</f>
        <v>6.3</v>
      </c>
      <c r="F106" s="44"/>
      <c r="G106" s="43">
        <f>Source!DI98</f>
      </c>
      <c r="H106" s="10">
        <f>Source!AV98</f>
        <v>1.047</v>
      </c>
      <c r="I106" s="45">
        <f>Source!U98</f>
        <v>40.61218769999999</v>
      </c>
      <c r="J106" s="10"/>
      <c r="K106" s="45"/>
    </row>
    <row r="107" spans="1:27" ht="15">
      <c r="A107" s="50"/>
      <c r="B107" s="50"/>
      <c r="C107" s="50"/>
      <c r="D107" s="50"/>
      <c r="E107" s="50"/>
      <c r="F107" s="50"/>
      <c r="G107" s="50"/>
      <c r="H107" s="51">
        <f>I99+I100+I102+I103+I104+I105</f>
        <v>1485.05</v>
      </c>
      <c r="I107" s="51"/>
      <c r="J107" s="51">
        <f>K99+K100+K102+K103+K104+K105</f>
        <v>18007.67</v>
      </c>
      <c r="K107" s="51"/>
      <c r="O107" s="47">
        <f>H107</f>
        <v>1485.05</v>
      </c>
      <c r="P107" s="47">
        <f>J107</f>
        <v>18007.67</v>
      </c>
      <c r="X107">
        <f>IF(Source!BI98&lt;=1,I99+I100+I102+I103+I104+I105,0)</f>
        <v>1485.05</v>
      </c>
      <c r="Y107">
        <f>IF(Source!BI98=2,I99+I100+I102+I103+I104+I105,0)</f>
        <v>0</v>
      </c>
      <c r="Z107">
        <f>IF(Source!BI98=3,I99+I100+I102+I103+I104+I105,0)</f>
        <v>0</v>
      </c>
      <c r="AA107">
        <f>IF(Source!BI98=4,I99+I100+I102+I103+I104+I105,0)</f>
        <v>0</v>
      </c>
    </row>
    <row r="108" spans="1:22" ht="28.5">
      <c r="A108" s="40" t="str">
        <f>Source!E99</f>
        <v>2</v>
      </c>
      <c r="B108" s="41" t="str">
        <f>Source!F99</f>
        <v>2.1-4-68</v>
      </c>
      <c r="C108" s="41" t="str">
        <f>Source!G99</f>
        <v>ЛЮЛЬКИ ЭЛЕКТРИЧЕСКИЕ, ГРУЗОПОДЪЕМНОСТЬ ДО 300 КГ</v>
      </c>
      <c r="D108" s="42" t="str">
        <f>Source!H99</f>
        <v>маш.-ч</v>
      </c>
      <c r="E108" s="10">
        <f>Source!I99</f>
        <v>-21.5495</v>
      </c>
      <c r="F108" s="44"/>
      <c r="G108" s="43"/>
      <c r="H108" s="10"/>
      <c r="I108" s="45"/>
      <c r="J108" s="10"/>
      <c r="K108" s="45"/>
      <c r="Q108">
        <f>ROUND((Source!DN99/100)*ROUND((Source!AF99*Source!AV99)*Source!I99,2),2)</f>
        <v>0</v>
      </c>
      <c r="R108">
        <f>Source!X99</f>
        <v>0</v>
      </c>
      <c r="S108">
        <f>ROUND((Source!DO99/100)*ROUND((Source!AF99*Source!AV99)*Source!I99,2),2)</f>
        <v>0</v>
      </c>
      <c r="T108">
        <f>Source!Y99</f>
        <v>0</v>
      </c>
      <c r="U108">
        <f>ROUND((175/100)*ROUND((Source!AE99*Source!AV99)*Source!I99,2),2)</f>
        <v>-42.25</v>
      </c>
      <c r="V108">
        <f>ROUND((169/100)*ROUND(Source!CS99*Source!I99,2),2)</f>
        <v>-678.32</v>
      </c>
    </row>
    <row r="109" spans="1:11" ht="14.25">
      <c r="A109" s="40"/>
      <c r="B109" s="41"/>
      <c r="C109" s="41" t="s">
        <v>140</v>
      </c>
      <c r="D109" s="42"/>
      <c r="E109" s="10"/>
      <c r="F109" s="44">
        <f>Source!AM99</f>
        <v>12.5</v>
      </c>
      <c r="G109" s="43">
        <f>Source!DE99</f>
      </c>
      <c r="H109" s="10">
        <f>Source!AV99</f>
        <v>1</v>
      </c>
      <c r="I109" s="45">
        <f>ROUND((Source!AD99*Source!AV99)*Source!I99,2)</f>
        <v>-269.37</v>
      </c>
      <c r="J109" s="10">
        <f>IF(Source!BB99&lt;&gt;0,Source!BB99,1)</f>
        <v>4.84</v>
      </c>
      <c r="K109" s="45">
        <f>Source!Q99</f>
        <v>-1303.74</v>
      </c>
    </row>
    <row r="110" spans="1:23" ht="14.25">
      <c r="A110" s="40"/>
      <c r="B110" s="41"/>
      <c r="C110" s="41" t="s">
        <v>141</v>
      </c>
      <c r="D110" s="42"/>
      <c r="E110" s="10"/>
      <c r="F110" s="44">
        <f>Source!AN99</f>
        <v>1.12</v>
      </c>
      <c r="G110" s="43">
        <f>Source!DF99</f>
      </c>
      <c r="H110" s="10">
        <f>Source!AV99</f>
        <v>1</v>
      </c>
      <c r="I110" s="46">
        <f>ROUND((Source!AE99*Source!AV99)*Source!I99,2)</f>
        <v>-24.14</v>
      </c>
      <c r="J110" s="10">
        <f>IF(Source!BS99&lt;&gt;0,Source!BS99,1)</f>
        <v>16.63</v>
      </c>
      <c r="K110" s="46">
        <f>Source!R99</f>
        <v>-401.37</v>
      </c>
      <c r="W110">
        <f>ROUND((Source!AE99*Source!AV99)*Source!I99,2)</f>
        <v>-24.14</v>
      </c>
    </row>
    <row r="111" spans="1:11" ht="14.25">
      <c r="A111" s="40"/>
      <c r="B111" s="41"/>
      <c r="C111" s="41" t="s">
        <v>146</v>
      </c>
      <c r="D111" s="42" t="s">
        <v>144</v>
      </c>
      <c r="E111" s="10">
        <f>175</f>
        <v>175</v>
      </c>
      <c r="F111" s="44"/>
      <c r="G111" s="43"/>
      <c r="H111" s="10"/>
      <c r="I111" s="45">
        <f>SUM(U108:U110)</f>
        <v>-42.25</v>
      </c>
      <c r="J111" s="10">
        <f>169</f>
        <v>169</v>
      </c>
      <c r="K111" s="45">
        <f>SUM(V108:V110)</f>
        <v>-678.32</v>
      </c>
    </row>
    <row r="112" spans="1:27" ht="15">
      <c r="A112" s="50"/>
      <c r="B112" s="50"/>
      <c r="C112" s="50"/>
      <c r="D112" s="50"/>
      <c r="E112" s="50"/>
      <c r="F112" s="50"/>
      <c r="G112" s="50"/>
      <c r="H112" s="51">
        <f>I109+I111</f>
        <v>-311.62</v>
      </c>
      <c r="I112" s="51"/>
      <c r="J112" s="51">
        <f>K109+K111</f>
        <v>-1982.06</v>
      </c>
      <c r="K112" s="51"/>
      <c r="O112" s="47">
        <f>H112</f>
        <v>-311.62</v>
      </c>
      <c r="P112" s="47">
        <f>J112</f>
        <v>-1982.06</v>
      </c>
      <c r="X112">
        <f>IF(Source!BI99&lt;=1,I109+I111,0)</f>
        <v>-311.62</v>
      </c>
      <c r="Y112">
        <f>IF(Source!BI99=2,I109+I111,0)</f>
        <v>0</v>
      </c>
      <c r="Z112">
        <f>IF(Source!BI99=3,I109+I111,0)</f>
        <v>0</v>
      </c>
      <c r="AA112">
        <f>IF(Source!BI99=4,I109+I111,0)</f>
        <v>0</v>
      </c>
    </row>
    <row r="113" spans="1:22" ht="57">
      <c r="A113" s="40" t="str">
        <f>Source!E100</f>
        <v>3</v>
      </c>
      <c r="B113" s="41" t="str">
        <f>Source!F100</f>
        <v>6.69-49-1</v>
      </c>
      <c r="C113" s="41" t="str">
        <f>Source!G100</f>
        <v>НАВЕСКА И РАЗБОРКА АЛЬПИНИСТСКОГО СНАРЯЖЕНИЯ ДЛЯ ПРОВЕДЕНИЯ ВЫСОТНЫХ РАБОТ, ПЕРВИЧНАЯ НАВЕСКА</v>
      </c>
      <c r="D113" s="42" t="str">
        <f>Source!H100</f>
        <v>шт.</v>
      </c>
      <c r="E113" s="10">
        <f>Source!I100</f>
        <v>3</v>
      </c>
      <c r="F113" s="44"/>
      <c r="G113" s="43"/>
      <c r="H113" s="10"/>
      <c r="I113" s="45"/>
      <c r="J113" s="10"/>
      <c r="K113" s="45"/>
      <c r="Q113">
        <f>ROUND((Source!DN100/100)*ROUND((Source!AF100*Source!AV100)*Source!I100,2),2)</f>
        <v>148.05</v>
      </c>
      <c r="R113">
        <f>Source!X100</f>
        <v>2056.2</v>
      </c>
      <c r="S113">
        <f>ROUND((Source!DO100/100)*ROUND((Source!AF100*Source!AV100)*Source!I100,2),2)</f>
        <v>113.88</v>
      </c>
      <c r="T113">
        <f>Source!Y100</f>
        <v>1190.43</v>
      </c>
      <c r="U113">
        <f>ROUND((175/100)*ROUND((Source!AE100*Source!AV100)*Source!I100,2),2)</f>
        <v>0</v>
      </c>
      <c r="V113">
        <f>ROUND((169/100)*ROUND(Source!CS100*Source!I100,2),2)</f>
        <v>0</v>
      </c>
    </row>
    <row r="114" spans="1:23" ht="14.25">
      <c r="A114" s="40"/>
      <c r="B114" s="41"/>
      <c r="C114" s="41" t="s">
        <v>139</v>
      </c>
      <c r="D114" s="42"/>
      <c r="E114" s="10"/>
      <c r="F114" s="44">
        <f>Source!AO100</f>
        <v>54.23</v>
      </c>
      <c r="G114" s="43">
        <f>Source!DG100</f>
      </c>
      <c r="H114" s="10">
        <f>Source!AV100</f>
        <v>1</v>
      </c>
      <c r="I114" s="45">
        <f>ROUND((Source!AF100*Source!AV100)*Source!I100,2)</f>
        <v>162.69</v>
      </c>
      <c r="J114" s="10">
        <f>IF(Source!BA100&lt;&gt;0,Source!BA100,1)</f>
        <v>16.63</v>
      </c>
      <c r="K114" s="45">
        <f>Source!S100</f>
        <v>2705.53</v>
      </c>
      <c r="W114">
        <f>ROUND((Source!AF100*Source!AV100)*Source!I100,2)</f>
        <v>162.69</v>
      </c>
    </row>
    <row r="115" spans="1:11" ht="14.25">
      <c r="A115" s="40"/>
      <c r="B115" s="41"/>
      <c r="C115" s="41" t="s">
        <v>143</v>
      </c>
      <c r="D115" s="42" t="s">
        <v>144</v>
      </c>
      <c r="E115" s="10">
        <f>Source!DN100</f>
        <v>91</v>
      </c>
      <c r="F115" s="44"/>
      <c r="G115" s="43"/>
      <c r="H115" s="10"/>
      <c r="I115" s="45">
        <f>SUM(Q113:Q114)</f>
        <v>148.05</v>
      </c>
      <c r="J115" s="10">
        <f>Source!BZ100</f>
        <v>76</v>
      </c>
      <c r="K115" s="45">
        <f>SUM(R113:R114)</f>
        <v>2056.2</v>
      </c>
    </row>
    <row r="116" spans="1:11" ht="14.25">
      <c r="A116" s="40"/>
      <c r="B116" s="41"/>
      <c r="C116" s="41" t="s">
        <v>145</v>
      </c>
      <c r="D116" s="42" t="s">
        <v>144</v>
      </c>
      <c r="E116" s="10">
        <f>Source!DO100</f>
        <v>70</v>
      </c>
      <c r="F116" s="44"/>
      <c r="G116" s="43"/>
      <c r="H116" s="10"/>
      <c r="I116" s="45">
        <f>SUM(S113:S115)</f>
        <v>113.88</v>
      </c>
      <c r="J116" s="10">
        <f>Source!CA100</f>
        <v>44</v>
      </c>
      <c r="K116" s="45">
        <f>SUM(T113:T115)</f>
        <v>1190.43</v>
      </c>
    </row>
    <row r="117" spans="1:11" ht="14.25">
      <c r="A117" s="40"/>
      <c r="B117" s="41"/>
      <c r="C117" s="41" t="s">
        <v>147</v>
      </c>
      <c r="D117" s="42" t="s">
        <v>148</v>
      </c>
      <c r="E117" s="10">
        <f>Source!AQ100</f>
        <v>3.73</v>
      </c>
      <c r="F117" s="44"/>
      <c r="G117" s="43">
        <f>Source!DI100</f>
      </c>
      <c r="H117" s="10">
        <f>Source!AV100</f>
        <v>1</v>
      </c>
      <c r="I117" s="45">
        <f>Source!U100</f>
        <v>11.19</v>
      </c>
      <c r="J117" s="10"/>
      <c r="K117" s="45"/>
    </row>
    <row r="118" spans="1:27" ht="15">
      <c r="A118" s="50"/>
      <c r="B118" s="50"/>
      <c r="C118" s="50"/>
      <c r="D118" s="50"/>
      <c r="E118" s="50"/>
      <c r="F118" s="50"/>
      <c r="G118" s="50"/>
      <c r="H118" s="51">
        <f>I114+I115+I116</f>
        <v>424.62</v>
      </c>
      <c r="I118" s="51"/>
      <c r="J118" s="51">
        <f>K114+K115+K116</f>
        <v>5952.16</v>
      </c>
      <c r="K118" s="51"/>
      <c r="O118" s="47">
        <f>H118</f>
        <v>424.62</v>
      </c>
      <c r="P118" s="47">
        <f>J118</f>
        <v>5952.16</v>
      </c>
      <c r="X118">
        <f>IF(Source!BI100&lt;=1,I114+I115+I116,0)</f>
        <v>424.62</v>
      </c>
      <c r="Y118">
        <f>IF(Source!BI100=2,I114+I115+I116,0)</f>
        <v>0</v>
      </c>
      <c r="Z118">
        <f>IF(Source!BI100=3,I114+I115+I116,0)</f>
        <v>0</v>
      </c>
      <c r="AA118">
        <f>IF(Source!BI100=4,I114+I115+I116,0)</f>
        <v>0</v>
      </c>
    </row>
    <row r="119" spans="1:22" ht="57">
      <c r="A119" s="40" t="str">
        <f>Source!E101</f>
        <v>4</v>
      </c>
      <c r="B119" s="41" t="str">
        <f>Source!F101</f>
        <v>6.69-49-2</v>
      </c>
      <c r="C119" s="41" t="str">
        <f>Source!G101</f>
        <v>НАВЕСКА И РАЗБОРКА АЛЬПИНИСТСКОГО СНАРЯЖЕНИЯ ДЛЯ ПРОВЕДЕНИЯ ВЫСОТНЫХ РАБОТ, ПЕРЕНАВЕСКА</v>
      </c>
      <c r="D119" s="42" t="str">
        <f>Source!H101</f>
        <v>шт.</v>
      </c>
      <c r="E119" s="10">
        <f>Source!I101</f>
        <v>20</v>
      </c>
      <c r="F119" s="44"/>
      <c r="G119" s="43"/>
      <c r="H119" s="10"/>
      <c r="I119" s="45"/>
      <c r="J119" s="10"/>
      <c r="K119" s="45"/>
      <c r="Q119">
        <f>ROUND((Source!DN101/100)*ROUND((Source!AF101*Source!AV101)*Source!I101,2),2)</f>
        <v>613.89</v>
      </c>
      <c r="R119">
        <f>Source!X101</f>
        <v>8526.14</v>
      </c>
      <c r="S119">
        <f>ROUND((Source!DO101/100)*ROUND((Source!AF101*Source!AV101)*Source!I101,2),2)</f>
        <v>472.22</v>
      </c>
      <c r="T119">
        <f>Source!Y101</f>
        <v>4936.18</v>
      </c>
      <c r="U119">
        <f>ROUND((175/100)*ROUND((Source!AE101*Source!AV101)*Source!I101,2),2)</f>
        <v>0</v>
      </c>
      <c r="V119">
        <f>ROUND((169/100)*ROUND(Source!CS101*Source!I101,2),2)</f>
        <v>0</v>
      </c>
    </row>
    <row r="120" spans="1:23" ht="14.25">
      <c r="A120" s="40"/>
      <c r="B120" s="41"/>
      <c r="C120" s="41" t="s">
        <v>139</v>
      </c>
      <c r="D120" s="42"/>
      <c r="E120" s="10"/>
      <c r="F120" s="44">
        <f>Source!AO101</f>
        <v>33.73</v>
      </c>
      <c r="G120" s="43">
        <f>Source!DG101</f>
      </c>
      <c r="H120" s="10">
        <f>Source!AV101</f>
        <v>1</v>
      </c>
      <c r="I120" s="45">
        <f>ROUND((Source!AF101*Source!AV101)*Source!I101,2)</f>
        <v>674.6</v>
      </c>
      <c r="J120" s="10">
        <f>IF(Source!BA101&lt;&gt;0,Source!BA101,1)</f>
        <v>16.63</v>
      </c>
      <c r="K120" s="45">
        <f>Source!S101</f>
        <v>11218.6</v>
      </c>
      <c r="W120">
        <f>ROUND((Source!AF101*Source!AV101)*Source!I101,2)</f>
        <v>674.6</v>
      </c>
    </row>
    <row r="121" spans="1:11" ht="14.25">
      <c r="A121" s="40"/>
      <c r="B121" s="41"/>
      <c r="C121" s="41" t="s">
        <v>143</v>
      </c>
      <c r="D121" s="42" t="s">
        <v>144</v>
      </c>
      <c r="E121" s="10">
        <f>Source!DN101</f>
        <v>91</v>
      </c>
      <c r="F121" s="44"/>
      <c r="G121" s="43"/>
      <c r="H121" s="10"/>
      <c r="I121" s="45">
        <f>SUM(Q119:Q120)</f>
        <v>613.89</v>
      </c>
      <c r="J121" s="10">
        <f>Source!BZ101</f>
        <v>76</v>
      </c>
      <c r="K121" s="45">
        <f>SUM(R119:R120)</f>
        <v>8526.14</v>
      </c>
    </row>
    <row r="122" spans="1:11" ht="14.25">
      <c r="A122" s="40"/>
      <c r="B122" s="41"/>
      <c r="C122" s="41" t="s">
        <v>145</v>
      </c>
      <c r="D122" s="42" t="s">
        <v>144</v>
      </c>
      <c r="E122" s="10">
        <f>Source!DO101</f>
        <v>70</v>
      </c>
      <c r="F122" s="44"/>
      <c r="G122" s="43"/>
      <c r="H122" s="10"/>
      <c r="I122" s="45">
        <f>SUM(S119:S121)</f>
        <v>472.22</v>
      </c>
      <c r="J122" s="10">
        <f>Source!CA101</f>
        <v>44</v>
      </c>
      <c r="K122" s="45">
        <f>SUM(T119:T121)</f>
        <v>4936.18</v>
      </c>
    </row>
    <row r="123" spans="1:11" ht="14.25">
      <c r="A123" s="40"/>
      <c r="B123" s="41"/>
      <c r="C123" s="41" t="s">
        <v>147</v>
      </c>
      <c r="D123" s="42" t="s">
        <v>148</v>
      </c>
      <c r="E123" s="10">
        <f>Source!AQ101</f>
        <v>2.32</v>
      </c>
      <c r="F123" s="44"/>
      <c r="G123" s="43">
        <f>Source!DI101</f>
      </c>
      <c r="H123" s="10">
        <f>Source!AV101</f>
        <v>1</v>
      </c>
      <c r="I123" s="45">
        <f>Source!U101</f>
        <v>46.4</v>
      </c>
      <c r="J123" s="10"/>
      <c r="K123" s="45"/>
    </row>
    <row r="124" spans="1:27" ht="15">
      <c r="A124" s="50"/>
      <c r="B124" s="50"/>
      <c r="C124" s="50"/>
      <c r="D124" s="50"/>
      <c r="E124" s="50"/>
      <c r="F124" s="50"/>
      <c r="G124" s="50"/>
      <c r="H124" s="51">
        <f>I120+I121+I122</f>
        <v>1760.71</v>
      </c>
      <c r="I124" s="51"/>
      <c r="J124" s="51">
        <f>K120+K121+K122</f>
        <v>24680.92</v>
      </c>
      <c r="K124" s="51"/>
      <c r="O124" s="47">
        <f>H124</f>
        <v>1760.71</v>
      </c>
      <c r="P124" s="47">
        <f>J124</f>
        <v>24680.92</v>
      </c>
      <c r="X124">
        <f>IF(Source!BI101&lt;=1,I120+I121+I122,0)</f>
        <v>1760.71</v>
      </c>
      <c r="Y124">
        <f>IF(Source!BI101=2,I120+I121+I122,0)</f>
        <v>0</v>
      </c>
      <c r="Z124">
        <f>IF(Source!BI101=3,I120+I121+I122,0)</f>
        <v>0</v>
      </c>
      <c r="AA124">
        <f>IF(Source!BI101=4,I120+I121+I122,0)</f>
        <v>0</v>
      </c>
    </row>
    <row r="126" spans="1:32" ht="15">
      <c r="A126" s="53" t="str">
        <f>CONCATENATE("Итого по разделу: ",IF(Source!G103&lt;&gt;"Новый раздел",Source!G103,""))</f>
        <v>Итого по разделу: Волхонка 8</v>
      </c>
      <c r="B126" s="53"/>
      <c r="C126" s="53"/>
      <c r="D126" s="53"/>
      <c r="E126" s="53"/>
      <c r="F126" s="53"/>
      <c r="G126" s="53"/>
      <c r="H126" s="49">
        <f>SUM(O97:O125)</f>
        <v>3358.7599999999998</v>
      </c>
      <c r="I126" s="52"/>
      <c r="J126" s="49">
        <f>SUM(P97:P125)</f>
        <v>46658.689999999995</v>
      </c>
      <c r="K126" s="52"/>
      <c r="AF126" s="54" t="str">
        <f>CONCATENATE("Итого по разделу: ",IF(Source!G103&lt;&gt;"Новый раздел",Source!G103,""))</f>
        <v>Итого по разделу: Волхонка 8</v>
      </c>
    </row>
    <row r="129" spans="1:32" ht="15">
      <c r="A129" s="53" t="str">
        <f>CONCATENATE("Итого по локальной смете: ",IF(Source!G129&lt;&gt;"Новая локальная смета",Source!G129,""))</f>
        <v>Итого по локальной смете: фасад</v>
      </c>
      <c r="B129" s="53"/>
      <c r="C129" s="53"/>
      <c r="D129" s="53"/>
      <c r="E129" s="53"/>
      <c r="F129" s="53"/>
      <c r="G129" s="53"/>
      <c r="H129" s="49">
        <f>SUM(O32:O128)</f>
        <v>10506.719999999998</v>
      </c>
      <c r="I129" s="52"/>
      <c r="J129" s="49">
        <f>SUM(P32:P128)</f>
        <v>146076.6</v>
      </c>
      <c r="K129" s="52"/>
      <c r="AF129" s="54" t="str">
        <f>CONCATENATE("Итого по локальной смете: ",IF(Source!G129&lt;&gt;"Новая локальная смета",Source!G129,""))</f>
        <v>Итого по локальной смете: фасад</v>
      </c>
    </row>
    <row r="132" spans="1:32" ht="15">
      <c r="A132" s="53" t="str">
        <f>CONCATENATE("Итого по смете: ",IF(Source!G155&lt;&gt;"Новый объект",Source!G155,""))</f>
        <v>Итого по смете: Мытьё фасадов</v>
      </c>
      <c r="B132" s="53"/>
      <c r="C132" s="53"/>
      <c r="D132" s="53"/>
      <c r="E132" s="53"/>
      <c r="F132" s="53"/>
      <c r="G132" s="53"/>
      <c r="H132" s="49">
        <f>SUM(O1:O131)</f>
        <v>10506.719999999998</v>
      </c>
      <c r="I132" s="52"/>
      <c r="J132" s="49">
        <f>SUM(P1:P131)</f>
        <v>146076.6</v>
      </c>
      <c r="K132" s="52"/>
      <c r="AF132" s="54" t="str">
        <f>CONCATENATE("Итого по смете: ",IF(Source!G155&lt;&gt;"Новый объект",Source!G155,""))</f>
        <v>Итого по смете: Мытьё фасадов</v>
      </c>
    </row>
    <row r="133" spans="3:34" ht="14.25">
      <c r="C133" s="27" t="str">
        <f>Source!H180</f>
        <v>Временные здания и сооружения  0,3% *0</v>
      </c>
      <c r="D133" s="27"/>
      <c r="E133" s="27"/>
      <c r="F133" s="27"/>
      <c r="G133" s="27"/>
      <c r="H133" s="27"/>
      <c r="I133" s="27"/>
      <c r="J133" s="48">
        <f>IF(Source!F180=0,"",Source!F180)</f>
      </c>
      <c r="K133" s="48"/>
      <c r="AH133" s="55" t="s">
        <v>91</v>
      </c>
    </row>
    <row r="134" spans="3:34" ht="14.25">
      <c r="C134" s="27" t="str">
        <f>Source!H181</f>
        <v>Итого с временными зданиями и сооружениями</v>
      </c>
      <c r="D134" s="27"/>
      <c r="E134" s="27"/>
      <c r="F134" s="27"/>
      <c r="G134" s="27"/>
      <c r="H134" s="27"/>
      <c r="I134" s="27"/>
      <c r="J134" s="48">
        <f>IF(Source!F181=0,"",Source!F181)</f>
        <v>146076.6</v>
      </c>
      <c r="K134" s="48"/>
      <c r="AH134" s="55" t="s">
        <v>93</v>
      </c>
    </row>
    <row r="135" spans="3:34" ht="14.25">
      <c r="C135" s="27" t="str">
        <f>Source!H182</f>
        <v>НДС 18%</v>
      </c>
      <c r="D135" s="27"/>
      <c r="E135" s="27"/>
      <c r="F135" s="27"/>
      <c r="G135" s="27"/>
      <c r="H135" s="27"/>
      <c r="I135" s="27"/>
      <c r="J135" s="48">
        <f>IF(Source!F182=0,"",Source!F182)</f>
        <v>26293.79</v>
      </c>
      <c r="K135" s="48"/>
      <c r="AH135" s="55" t="s">
        <v>95</v>
      </c>
    </row>
    <row r="136" spans="3:34" ht="14.25">
      <c r="C136" s="27" t="str">
        <f>Source!H183</f>
        <v>Итого с НДС</v>
      </c>
      <c r="D136" s="27"/>
      <c r="E136" s="27"/>
      <c r="F136" s="27"/>
      <c r="G136" s="27"/>
      <c r="H136" s="27"/>
      <c r="I136" s="27"/>
      <c r="J136" s="48">
        <f>IF(Source!F183=0,"",Source!F183)</f>
        <v>172370.39</v>
      </c>
      <c r="K136" s="48"/>
      <c r="AH136" s="55" t="s">
        <v>97</v>
      </c>
    </row>
    <row r="139" spans="1:11" ht="14.25">
      <c r="A139" s="56" t="s">
        <v>149</v>
      </c>
      <c r="B139" s="56"/>
      <c r="C139" s="57" t="str">
        <f>IF(Source!AC12&lt;&gt;"",Source!AC12," ")</f>
        <v> </v>
      </c>
      <c r="D139" s="57"/>
      <c r="E139" s="57"/>
      <c r="F139" s="57"/>
      <c r="G139" s="57"/>
      <c r="H139" s="11" t="str">
        <f>IF(Source!AB12&lt;&gt;"",Source!AB12," ")</f>
        <v> </v>
      </c>
      <c r="I139" s="11"/>
      <c r="J139" s="11"/>
      <c r="K139" s="11"/>
    </row>
    <row r="140" spans="1:11" ht="14.25">
      <c r="A140" s="11"/>
      <c r="B140" s="11"/>
      <c r="C140" s="21" t="s">
        <v>150</v>
      </c>
      <c r="D140" s="21"/>
      <c r="E140" s="21"/>
      <c r="F140" s="21"/>
      <c r="G140" s="21"/>
      <c r="H140" s="11"/>
      <c r="I140" s="11"/>
      <c r="J140" s="11"/>
      <c r="K140" s="11"/>
    </row>
    <row r="141" spans="1:11" ht="14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ht="14.25">
      <c r="A142" s="56" t="s">
        <v>151</v>
      </c>
      <c r="B142" s="56"/>
      <c r="C142" s="57" t="str">
        <f>IF(Source!AE12&lt;&gt;"",Source!AE12," ")</f>
        <v> </v>
      </c>
      <c r="D142" s="57"/>
      <c r="E142" s="57"/>
      <c r="F142" s="57"/>
      <c r="G142" s="57"/>
      <c r="H142" s="11" t="str">
        <f>IF(Source!AD12&lt;&gt;"",Source!AD12," ")</f>
        <v> </v>
      </c>
      <c r="I142" s="11"/>
      <c r="J142" s="11"/>
      <c r="K142" s="11"/>
    </row>
    <row r="143" spans="1:11" ht="14.25">
      <c r="A143" s="11"/>
      <c r="B143" s="11"/>
      <c r="C143" s="21" t="s">
        <v>150</v>
      </c>
      <c r="D143" s="21"/>
      <c r="E143" s="21"/>
      <c r="F143" s="21"/>
      <c r="G143" s="21"/>
      <c r="H143" s="11"/>
      <c r="I143" s="11"/>
      <c r="J143" s="11"/>
      <c r="K143" s="11"/>
    </row>
  </sheetData>
  <sheetProtection/>
  <mergeCells count="76">
    <mergeCell ref="A142:B142"/>
    <mergeCell ref="C143:G143"/>
    <mergeCell ref="C135:I135"/>
    <mergeCell ref="J135:K135"/>
    <mergeCell ref="C136:I136"/>
    <mergeCell ref="J136:K136"/>
    <mergeCell ref="A139:B139"/>
    <mergeCell ref="C140:G140"/>
    <mergeCell ref="J132:K132"/>
    <mergeCell ref="H132:I132"/>
    <mergeCell ref="A132:G132"/>
    <mergeCell ref="C133:I133"/>
    <mergeCell ref="J133:K133"/>
    <mergeCell ref="C134:I134"/>
    <mergeCell ref="J134:K134"/>
    <mergeCell ref="J126:K126"/>
    <mergeCell ref="H126:I126"/>
    <mergeCell ref="A126:G126"/>
    <mergeCell ref="J129:K129"/>
    <mergeCell ref="H129:I129"/>
    <mergeCell ref="A129:G129"/>
    <mergeCell ref="J112:K112"/>
    <mergeCell ref="H112:I112"/>
    <mergeCell ref="J118:K118"/>
    <mergeCell ref="H118:I118"/>
    <mergeCell ref="J124:K124"/>
    <mergeCell ref="H124:I124"/>
    <mergeCell ref="J94:K94"/>
    <mergeCell ref="H94:I94"/>
    <mergeCell ref="A94:G94"/>
    <mergeCell ref="A97:K97"/>
    <mergeCell ref="J107:K107"/>
    <mergeCell ref="H107:I107"/>
    <mergeCell ref="J80:K80"/>
    <mergeCell ref="H80:I80"/>
    <mergeCell ref="J86:K86"/>
    <mergeCell ref="H86:I86"/>
    <mergeCell ref="J92:K92"/>
    <mergeCell ref="H92:I92"/>
    <mergeCell ref="J62:K62"/>
    <mergeCell ref="H62:I62"/>
    <mergeCell ref="A62:G62"/>
    <mergeCell ref="A65:K65"/>
    <mergeCell ref="J75:K75"/>
    <mergeCell ref="H75:I75"/>
    <mergeCell ref="J48:K48"/>
    <mergeCell ref="H48:I48"/>
    <mergeCell ref="J54:K54"/>
    <mergeCell ref="H54:I54"/>
    <mergeCell ref="J60:K60"/>
    <mergeCell ref="H60:I60"/>
    <mergeCell ref="F25:H25"/>
    <mergeCell ref="F26:H26"/>
    <mergeCell ref="F27:H27"/>
    <mergeCell ref="F28:H28"/>
    <mergeCell ref="A33:K33"/>
    <mergeCell ref="J43:K43"/>
    <mergeCell ref="H43:I43"/>
    <mergeCell ref="A16:K16"/>
    <mergeCell ref="A18:K18"/>
    <mergeCell ref="A19:K19"/>
    <mergeCell ref="A21:K21"/>
    <mergeCell ref="F23:H23"/>
    <mergeCell ref="F24:H24"/>
    <mergeCell ref="B7:E7"/>
    <mergeCell ref="G7:K7"/>
    <mergeCell ref="A10:K10"/>
    <mergeCell ref="A11:K11"/>
    <mergeCell ref="A13:K13"/>
    <mergeCell ref="A14:K14"/>
    <mergeCell ref="B3:E3"/>
    <mergeCell ref="G3:K3"/>
    <mergeCell ref="B4:E4"/>
    <mergeCell ref="G4:K4"/>
    <mergeCell ref="B6:E6"/>
    <mergeCell ref="G6:K6"/>
  </mergeCells>
  <printOptions/>
  <pageMargins left="0.4" right="0.2" top="0.2" bottom="0.4" header="0.2" footer="0.2"/>
  <pageSetup orientation="portrait" paperSize="9" scale="6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R193"/>
  <sheetViews>
    <sheetView zoomScalePageLayoutView="0" workbookViewId="0" topLeftCell="A1">
      <selection activeCell="A189" sqref="A189:Z189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25238</v>
      </c>
      <c r="M1">
        <v>10</v>
      </c>
    </row>
    <row r="12" spans="1:133" ht="12.75">
      <c r="A12" s="1">
        <v>1</v>
      </c>
      <c r="B12" s="1">
        <v>188</v>
      </c>
      <c r="C12" s="1">
        <v>0</v>
      </c>
      <c r="D12" s="1">
        <f>ROW(A155)</f>
        <v>155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169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118" ht="12.75">
      <c r="A18" s="2">
        <v>52</v>
      </c>
      <c r="B18" s="2">
        <f aca="true" t="shared" si="0" ref="B18:G18">B155</f>
        <v>188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Мытьё фасадов</v>
      </c>
      <c r="H18" s="2"/>
      <c r="I18" s="2"/>
      <c r="J18" s="2"/>
      <c r="K18" s="2"/>
      <c r="L18" s="2"/>
      <c r="M18" s="2"/>
      <c r="N18" s="2"/>
      <c r="O18" s="2">
        <f aca="true" t="shared" si="1" ref="O18:AT18">O155</f>
        <v>66039.69</v>
      </c>
      <c r="P18" s="2">
        <f t="shared" si="1"/>
        <v>551.31</v>
      </c>
      <c r="Q18" s="2">
        <f t="shared" si="1"/>
        <v>174.13</v>
      </c>
      <c r="R18" s="2">
        <f t="shared" si="1"/>
        <v>53.61</v>
      </c>
      <c r="S18" s="2">
        <f t="shared" si="1"/>
        <v>65314.25</v>
      </c>
      <c r="T18" s="2">
        <f t="shared" si="1"/>
        <v>0</v>
      </c>
      <c r="U18" s="2">
        <f t="shared" si="1"/>
        <v>304.4153656</v>
      </c>
      <c r="V18" s="2">
        <f t="shared" si="1"/>
        <v>0</v>
      </c>
      <c r="W18" s="2">
        <f t="shared" si="1"/>
        <v>0</v>
      </c>
      <c r="X18" s="2">
        <f t="shared" si="1"/>
        <v>51208.05</v>
      </c>
      <c r="Y18" s="2">
        <f t="shared" si="1"/>
        <v>28738.26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146076.6</v>
      </c>
      <c r="AS18" s="2">
        <f t="shared" si="1"/>
        <v>146076.6</v>
      </c>
      <c r="AT18" s="2">
        <f t="shared" si="1"/>
        <v>0</v>
      </c>
      <c r="AU18" s="2">
        <f aca="true" t="shared" si="2" ref="AU18:BZ18">AU155</f>
        <v>0</v>
      </c>
      <c r="AV18" s="2">
        <f t="shared" si="2"/>
        <v>551.31</v>
      </c>
      <c r="AW18" s="2">
        <f t="shared" si="2"/>
        <v>551.31</v>
      </c>
      <c r="AX18" s="2">
        <f t="shared" si="2"/>
        <v>0</v>
      </c>
      <c r="AY18" s="2">
        <f t="shared" si="2"/>
        <v>551.31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CA155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3">
        <f aca="true" t="shared" si="4" ref="DG18:DN18">DG155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</row>
    <row r="20" spans="1:88" ht="12.75">
      <c r="A20" s="1">
        <v>3</v>
      </c>
      <c r="B20" s="1">
        <v>1</v>
      </c>
      <c r="C20" s="1"/>
      <c r="D20" s="1">
        <f>ROW(A129)</f>
        <v>129</v>
      </c>
      <c r="E20" s="1"/>
      <c r="F20" s="1" t="s">
        <v>12</v>
      </c>
      <c r="G20" s="1" t="s">
        <v>13</v>
      </c>
      <c r="H20" s="1" t="s">
        <v>3</v>
      </c>
      <c r="I20" s="1">
        <v>0</v>
      </c>
      <c r="J20" s="1" t="s">
        <v>3</v>
      </c>
      <c r="K20" s="1">
        <v>-1</v>
      </c>
      <c r="L20" s="1"/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118" ht="12.75">
      <c r="A22" s="2">
        <v>52</v>
      </c>
      <c r="B22" s="2">
        <f aca="true" t="shared" si="5" ref="B22:G22">B129</f>
        <v>1</v>
      </c>
      <c r="C22" s="2">
        <f t="shared" si="5"/>
        <v>3</v>
      </c>
      <c r="D22" s="2">
        <f t="shared" si="5"/>
        <v>20</v>
      </c>
      <c r="E22" s="2">
        <f t="shared" si="5"/>
        <v>0</v>
      </c>
      <c r="F22" s="2" t="str">
        <f t="shared" si="5"/>
        <v>Новая локальная смета</v>
      </c>
      <c r="G22" s="2" t="str">
        <f t="shared" si="5"/>
        <v>фасад</v>
      </c>
      <c r="H22" s="2"/>
      <c r="I22" s="2"/>
      <c r="J22" s="2"/>
      <c r="K22" s="2"/>
      <c r="L22" s="2"/>
      <c r="M22" s="2"/>
      <c r="N22" s="2"/>
      <c r="O22" s="2">
        <f aca="true" t="shared" si="6" ref="O22:AT22">O129</f>
        <v>66039.69</v>
      </c>
      <c r="P22" s="2">
        <f t="shared" si="6"/>
        <v>551.31</v>
      </c>
      <c r="Q22" s="2">
        <f t="shared" si="6"/>
        <v>174.13</v>
      </c>
      <c r="R22" s="2">
        <f t="shared" si="6"/>
        <v>53.61</v>
      </c>
      <c r="S22" s="2">
        <f t="shared" si="6"/>
        <v>65314.25</v>
      </c>
      <c r="T22" s="2">
        <f t="shared" si="6"/>
        <v>0</v>
      </c>
      <c r="U22" s="2">
        <f t="shared" si="6"/>
        <v>304.4153656</v>
      </c>
      <c r="V22" s="2">
        <f t="shared" si="6"/>
        <v>0</v>
      </c>
      <c r="W22" s="2">
        <f t="shared" si="6"/>
        <v>0</v>
      </c>
      <c r="X22" s="2">
        <f t="shared" si="6"/>
        <v>51208.05</v>
      </c>
      <c r="Y22" s="2">
        <f t="shared" si="6"/>
        <v>28738.26</v>
      </c>
      <c r="Z22" s="2">
        <f t="shared" si="6"/>
        <v>0</v>
      </c>
      <c r="AA22" s="2">
        <f t="shared" si="6"/>
        <v>0</v>
      </c>
      <c r="AB22" s="2">
        <f t="shared" si="6"/>
        <v>0</v>
      </c>
      <c r="AC22" s="2">
        <f t="shared" si="6"/>
        <v>0</v>
      </c>
      <c r="AD22" s="2">
        <f t="shared" si="6"/>
        <v>0</v>
      </c>
      <c r="AE22" s="2">
        <f t="shared" si="6"/>
        <v>0</v>
      </c>
      <c r="AF22" s="2">
        <f t="shared" si="6"/>
        <v>0</v>
      </c>
      <c r="AG22" s="2">
        <f t="shared" si="6"/>
        <v>0</v>
      </c>
      <c r="AH22" s="2">
        <f t="shared" si="6"/>
        <v>0</v>
      </c>
      <c r="AI22" s="2">
        <f t="shared" si="6"/>
        <v>0</v>
      </c>
      <c r="AJ22" s="2">
        <f t="shared" si="6"/>
        <v>0</v>
      </c>
      <c r="AK22" s="2">
        <f t="shared" si="6"/>
        <v>0</v>
      </c>
      <c r="AL22" s="2">
        <f t="shared" si="6"/>
        <v>0</v>
      </c>
      <c r="AM22" s="2">
        <f t="shared" si="6"/>
        <v>0</v>
      </c>
      <c r="AN22" s="2">
        <f t="shared" si="6"/>
        <v>0</v>
      </c>
      <c r="AO22" s="2">
        <f t="shared" si="6"/>
        <v>0</v>
      </c>
      <c r="AP22" s="2">
        <f t="shared" si="6"/>
        <v>0</v>
      </c>
      <c r="AQ22" s="2">
        <f t="shared" si="6"/>
        <v>0</v>
      </c>
      <c r="AR22" s="2">
        <f t="shared" si="6"/>
        <v>146076.6</v>
      </c>
      <c r="AS22" s="2">
        <f t="shared" si="6"/>
        <v>146076.6</v>
      </c>
      <c r="AT22" s="2">
        <f t="shared" si="6"/>
        <v>0</v>
      </c>
      <c r="AU22" s="2">
        <f aca="true" t="shared" si="7" ref="AU22:BZ22">AU129</f>
        <v>0</v>
      </c>
      <c r="AV22" s="2">
        <f t="shared" si="7"/>
        <v>551.31</v>
      </c>
      <c r="AW22" s="2">
        <f t="shared" si="7"/>
        <v>551.31</v>
      </c>
      <c r="AX22" s="2">
        <f t="shared" si="7"/>
        <v>0</v>
      </c>
      <c r="AY22" s="2">
        <f t="shared" si="7"/>
        <v>551.31</v>
      </c>
      <c r="AZ22" s="2">
        <f t="shared" si="7"/>
        <v>0</v>
      </c>
      <c r="BA22" s="2">
        <f t="shared" si="7"/>
        <v>0</v>
      </c>
      <c r="BB22" s="2">
        <f t="shared" si="7"/>
        <v>0</v>
      </c>
      <c r="BC22" s="2">
        <f t="shared" si="7"/>
        <v>0</v>
      </c>
      <c r="BD22" s="2">
        <f t="shared" si="7"/>
        <v>0</v>
      </c>
      <c r="BE22" s="2">
        <f t="shared" si="7"/>
        <v>0</v>
      </c>
      <c r="BF22" s="2">
        <f t="shared" si="7"/>
        <v>0</v>
      </c>
      <c r="BG22" s="2">
        <f t="shared" si="7"/>
        <v>0</v>
      </c>
      <c r="BH22" s="2">
        <f t="shared" si="7"/>
        <v>0</v>
      </c>
      <c r="BI22" s="2">
        <f t="shared" si="7"/>
        <v>0</v>
      </c>
      <c r="BJ22" s="2">
        <f t="shared" si="7"/>
        <v>0</v>
      </c>
      <c r="BK22" s="2">
        <f t="shared" si="7"/>
        <v>0</v>
      </c>
      <c r="BL22" s="2">
        <f t="shared" si="7"/>
        <v>0</v>
      </c>
      <c r="BM22" s="2">
        <f t="shared" si="7"/>
        <v>0</v>
      </c>
      <c r="BN22" s="2">
        <f t="shared" si="7"/>
        <v>0</v>
      </c>
      <c r="BO22" s="3">
        <f t="shared" si="7"/>
        <v>0</v>
      </c>
      <c r="BP22" s="3">
        <f t="shared" si="7"/>
        <v>0</v>
      </c>
      <c r="BQ22" s="3">
        <f t="shared" si="7"/>
        <v>0</v>
      </c>
      <c r="BR22" s="3">
        <f t="shared" si="7"/>
        <v>0</v>
      </c>
      <c r="BS22" s="3">
        <f t="shared" si="7"/>
        <v>0</v>
      </c>
      <c r="BT22" s="3">
        <f t="shared" si="7"/>
        <v>0</v>
      </c>
      <c r="BU22" s="3">
        <f t="shared" si="7"/>
        <v>0</v>
      </c>
      <c r="BV22" s="3">
        <f t="shared" si="7"/>
        <v>0</v>
      </c>
      <c r="BW22" s="3">
        <f t="shared" si="7"/>
        <v>0</v>
      </c>
      <c r="BX22" s="3">
        <f t="shared" si="7"/>
        <v>0</v>
      </c>
      <c r="BY22" s="3">
        <f t="shared" si="7"/>
        <v>0</v>
      </c>
      <c r="BZ22" s="3">
        <f t="shared" si="7"/>
        <v>0</v>
      </c>
      <c r="CA22" s="3">
        <f aca="true" t="shared" si="8" ref="CA22:DF22">CA129</f>
        <v>0</v>
      </c>
      <c r="CB22" s="3">
        <f t="shared" si="8"/>
        <v>0</v>
      </c>
      <c r="CC22" s="3">
        <f t="shared" si="8"/>
        <v>0</v>
      </c>
      <c r="CD22" s="3">
        <f t="shared" si="8"/>
        <v>0</v>
      </c>
      <c r="CE22" s="3">
        <f t="shared" si="8"/>
        <v>0</v>
      </c>
      <c r="CF22" s="3">
        <f t="shared" si="8"/>
        <v>0</v>
      </c>
      <c r="CG22" s="3">
        <f t="shared" si="8"/>
        <v>0</v>
      </c>
      <c r="CH22" s="3">
        <f t="shared" si="8"/>
        <v>0</v>
      </c>
      <c r="CI22" s="3">
        <f t="shared" si="8"/>
        <v>0</v>
      </c>
      <c r="CJ22" s="3">
        <f t="shared" si="8"/>
        <v>0</v>
      </c>
      <c r="CK22" s="3">
        <f t="shared" si="8"/>
        <v>0</v>
      </c>
      <c r="CL22" s="3">
        <f t="shared" si="8"/>
        <v>0</v>
      </c>
      <c r="CM22" s="3">
        <f t="shared" si="8"/>
        <v>0</v>
      </c>
      <c r="CN22" s="3">
        <f t="shared" si="8"/>
        <v>0</v>
      </c>
      <c r="CO22" s="3">
        <f t="shared" si="8"/>
        <v>0</v>
      </c>
      <c r="CP22" s="3">
        <f t="shared" si="8"/>
        <v>0</v>
      </c>
      <c r="CQ22" s="3">
        <f t="shared" si="8"/>
        <v>0</v>
      </c>
      <c r="CR22" s="3">
        <f t="shared" si="8"/>
        <v>0</v>
      </c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">
        <f t="shared" si="8"/>
        <v>0</v>
      </c>
      <c r="DD22" s="3">
        <f t="shared" si="8"/>
        <v>0</v>
      </c>
      <c r="DE22" s="3">
        <f t="shared" si="8"/>
        <v>0</v>
      </c>
      <c r="DF22" s="3">
        <f t="shared" si="8"/>
        <v>0</v>
      </c>
      <c r="DG22" s="3">
        <f aca="true" t="shared" si="9" ref="DG22:DN22">DG129</f>
        <v>0</v>
      </c>
      <c r="DH22" s="3">
        <f t="shared" si="9"/>
        <v>0</v>
      </c>
      <c r="DI22" s="3">
        <f t="shared" si="9"/>
        <v>0</v>
      </c>
      <c r="DJ22" s="3">
        <f t="shared" si="9"/>
        <v>0</v>
      </c>
      <c r="DK22" s="3">
        <f t="shared" si="9"/>
        <v>0</v>
      </c>
      <c r="DL22" s="3">
        <f t="shared" si="9"/>
        <v>0</v>
      </c>
      <c r="DM22" s="3">
        <f t="shared" si="9"/>
        <v>0</v>
      </c>
      <c r="DN22" s="3">
        <f t="shared" si="9"/>
        <v>0</v>
      </c>
    </row>
    <row r="24" spans="1:88" ht="12.75">
      <c r="A24" s="1">
        <v>4</v>
      </c>
      <c r="B24" s="1">
        <v>1</v>
      </c>
      <c r="C24" s="1"/>
      <c r="D24" s="1">
        <f>ROW(A33)</f>
        <v>33</v>
      </c>
      <c r="E24" s="1"/>
      <c r="F24" s="1" t="s">
        <v>14</v>
      </c>
      <c r="G24" s="1" t="s">
        <v>15</v>
      </c>
      <c r="H24" s="1" t="s">
        <v>3</v>
      </c>
      <c r="I24" s="1">
        <v>0</v>
      </c>
      <c r="J24" s="1"/>
      <c r="K24" s="1">
        <v>0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118" ht="12.75">
      <c r="A26" s="2">
        <v>52</v>
      </c>
      <c r="B26" s="2">
        <f aca="true" t="shared" si="10" ref="B26:G26">B33</f>
        <v>1</v>
      </c>
      <c r="C26" s="2">
        <f t="shared" si="10"/>
        <v>4</v>
      </c>
      <c r="D26" s="2">
        <f t="shared" si="10"/>
        <v>24</v>
      </c>
      <c r="E26" s="2">
        <f t="shared" si="10"/>
        <v>0</v>
      </c>
      <c r="F26" s="2" t="str">
        <f t="shared" si="10"/>
        <v>Новый раздел</v>
      </c>
      <c r="G26" s="2" t="str">
        <f t="shared" si="10"/>
        <v>Колымажный пер. 4с1</v>
      </c>
      <c r="H26" s="2"/>
      <c r="I26" s="2"/>
      <c r="J26" s="2"/>
      <c r="K26" s="2"/>
      <c r="L26" s="2"/>
      <c r="M26" s="2"/>
      <c r="N26" s="2"/>
      <c r="O26" s="2">
        <f aca="true" t="shared" si="11" ref="O26:AT26">O33</f>
        <v>17921.18</v>
      </c>
      <c r="P26" s="2">
        <f t="shared" si="11"/>
        <v>138.74</v>
      </c>
      <c r="Q26" s="2">
        <f t="shared" si="11"/>
        <v>43.82</v>
      </c>
      <c r="R26" s="2">
        <f t="shared" si="11"/>
        <v>13.49</v>
      </c>
      <c r="S26" s="2">
        <f t="shared" si="11"/>
        <v>17738.62</v>
      </c>
      <c r="T26" s="2">
        <f t="shared" si="11"/>
        <v>0</v>
      </c>
      <c r="U26" s="2">
        <f t="shared" si="11"/>
        <v>81.99262829999999</v>
      </c>
      <c r="V26" s="2">
        <f t="shared" si="11"/>
        <v>0</v>
      </c>
      <c r="W26" s="2">
        <f t="shared" si="11"/>
        <v>0</v>
      </c>
      <c r="X26" s="2">
        <f t="shared" si="11"/>
        <v>13876.25</v>
      </c>
      <c r="Y26" s="2">
        <f t="shared" si="11"/>
        <v>7804.99</v>
      </c>
      <c r="Z26" s="2">
        <f t="shared" si="11"/>
        <v>0</v>
      </c>
      <c r="AA26" s="2">
        <f t="shared" si="11"/>
        <v>0</v>
      </c>
      <c r="AB26" s="2">
        <f t="shared" si="11"/>
        <v>17921.18</v>
      </c>
      <c r="AC26" s="2">
        <f t="shared" si="11"/>
        <v>138.74</v>
      </c>
      <c r="AD26" s="2">
        <f t="shared" si="11"/>
        <v>43.82</v>
      </c>
      <c r="AE26" s="2">
        <f t="shared" si="11"/>
        <v>13.49</v>
      </c>
      <c r="AF26" s="2">
        <f t="shared" si="11"/>
        <v>17738.62</v>
      </c>
      <c r="AG26" s="2">
        <f t="shared" si="11"/>
        <v>0</v>
      </c>
      <c r="AH26" s="2">
        <f t="shared" si="11"/>
        <v>81.99262829999999</v>
      </c>
      <c r="AI26" s="2">
        <f t="shared" si="11"/>
        <v>0</v>
      </c>
      <c r="AJ26" s="2">
        <f t="shared" si="11"/>
        <v>0</v>
      </c>
      <c r="AK26" s="2">
        <f t="shared" si="11"/>
        <v>13876.25</v>
      </c>
      <c r="AL26" s="2">
        <f t="shared" si="11"/>
        <v>7804.99</v>
      </c>
      <c r="AM26" s="2">
        <f t="shared" si="11"/>
        <v>0</v>
      </c>
      <c r="AN26" s="2">
        <f t="shared" si="11"/>
        <v>0</v>
      </c>
      <c r="AO26" s="2">
        <f t="shared" si="11"/>
        <v>0</v>
      </c>
      <c r="AP26" s="2">
        <f t="shared" si="11"/>
        <v>0</v>
      </c>
      <c r="AQ26" s="2">
        <f t="shared" si="11"/>
        <v>0</v>
      </c>
      <c r="AR26" s="2">
        <f t="shared" si="11"/>
        <v>39625.22</v>
      </c>
      <c r="AS26" s="2">
        <f t="shared" si="11"/>
        <v>39625.22</v>
      </c>
      <c r="AT26" s="2">
        <f t="shared" si="11"/>
        <v>0</v>
      </c>
      <c r="AU26" s="2">
        <f aca="true" t="shared" si="12" ref="AU26:BZ26">AU33</f>
        <v>0</v>
      </c>
      <c r="AV26" s="2">
        <f t="shared" si="12"/>
        <v>138.74</v>
      </c>
      <c r="AW26" s="2">
        <f t="shared" si="12"/>
        <v>138.74</v>
      </c>
      <c r="AX26" s="2">
        <f t="shared" si="12"/>
        <v>0</v>
      </c>
      <c r="AY26" s="2">
        <f t="shared" si="12"/>
        <v>138.74</v>
      </c>
      <c r="AZ26" s="2">
        <f t="shared" si="12"/>
        <v>0</v>
      </c>
      <c r="BA26" s="2">
        <f t="shared" si="12"/>
        <v>0</v>
      </c>
      <c r="BB26" s="2">
        <f t="shared" si="12"/>
        <v>0</v>
      </c>
      <c r="BC26" s="2">
        <f t="shared" si="12"/>
        <v>0</v>
      </c>
      <c r="BD26" s="2">
        <f t="shared" si="12"/>
        <v>0</v>
      </c>
      <c r="BE26" s="2">
        <f t="shared" si="12"/>
        <v>39625.22</v>
      </c>
      <c r="BF26" s="2">
        <f t="shared" si="12"/>
        <v>39625.22</v>
      </c>
      <c r="BG26" s="2">
        <f t="shared" si="12"/>
        <v>0</v>
      </c>
      <c r="BH26" s="2">
        <f t="shared" si="12"/>
        <v>0</v>
      </c>
      <c r="BI26" s="2">
        <f t="shared" si="12"/>
        <v>138.74</v>
      </c>
      <c r="BJ26" s="2">
        <f t="shared" si="12"/>
        <v>138.74</v>
      </c>
      <c r="BK26" s="2">
        <f t="shared" si="12"/>
        <v>0</v>
      </c>
      <c r="BL26" s="2">
        <f t="shared" si="12"/>
        <v>138.74</v>
      </c>
      <c r="BM26" s="2">
        <f t="shared" si="12"/>
        <v>0</v>
      </c>
      <c r="BN26" s="2">
        <f t="shared" si="12"/>
        <v>0</v>
      </c>
      <c r="BO26" s="3">
        <f t="shared" si="12"/>
        <v>0</v>
      </c>
      <c r="BP26" s="3">
        <f t="shared" si="12"/>
        <v>0</v>
      </c>
      <c r="BQ26" s="3">
        <f t="shared" si="12"/>
        <v>0</v>
      </c>
      <c r="BR26" s="3">
        <f t="shared" si="12"/>
        <v>0</v>
      </c>
      <c r="BS26" s="3">
        <f t="shared" si="12"/>
        <v>0</v>
      </c>
      <c r="BT26" s="3">
        <f t="shared" si="12"/>
        <v>0</v>
      </c>
      <c r="BU26" s="3">
        <f t="shared" si="12"/>
        <v>0</v>
      </c>
      <c r="BV26" s="3">
        <f t="shared" si="12"/>
        <v>0</v>
      </c>
      <c r="BW26" s="3">
        <f t="shared" si="12"/>
        <v>0</v>
      </c>
      <c r="BX26" s="3">
        <f t="shared" si="12"/>
        <v>0</v>
      </c>
      <c r="BY26" s="3">
        <f t="shared" si="12"/>
        <v>0</v>
      </c>
      <c r="BZ26" s="3">
        <f t="shared" si="12"/>
        <v>0</v>
      </c>
      <c r="CA26" s="3">
        <f aca="true" t="shared" si="13" ref="CA26:DF26">CA33</f>
        <v>0</v>
      </c>
      <c r="CB26" s="3">
        <f t="shared" si="13"/>
        <v>0</v>
      </c>
      <c r="CC26" s="3">
        <f t="shared" si="13"/>
        <v>0</v>
      </c>
      <c r="CD26" s="3">
        <f t="shared" si="13"/>
        <v>0</v>
      </c>
      <c r="CE26" s="3">
        <f t="shared" si="13"/>
        <v>0</v>
      </c>
      <c r="CF26" s="3">
        <f t="shared" si="13"/>
        <v>0</v>
      </c>
      <c r="CG26" s="3">
        <f t="shared" si="13"/>
        <v>0</v>
      </c>
      <c r="CH26" s="3">
        <f t="shared" si="13"/>
        <v>0</v>
      </c>
      <c r="CI26" s="3">
        <f t="shared" si="13"/>
        <v>0</v>
      </c>
      <c r="CJ26" s="3">
        <f t="shared" si="13"/>
        <v>0</v>
      </c>
      <c r="CK26" s="3">
        <f t="shared" si="13"/>
        <v>0</v>
      </c>
      <c r="CL26" s="3">
        <f t="shared" si="13"/>
        <v>0</v>
      </c>
      <c r="CM26" s="3">
        <f t="shared" si="13"/>
        <v>0</v>
      </c>
      <c r="CN26" s="3">
        <f t="shared" si="13"/>
        <v>0</v>
      </c>
      <c r="CO26" s="3">
        <f t="shared" si="13"/>
        <v>0</v>
      </c>
      <c r="CP26" s="3">
        <f t="shared" si="13"/>
        <v>0</v>
      </c>
      <c r="CQ26" s="3">
        <f t="shared" si="13"/>
        <v>0</v>
      </c>
      <c r="CR26" s="3">
        <f t="shared" si="13"/>
        <v>0</v>
      </c>
      <c r="CS26" s="3">
        <f t="shared" si="13"/>
        <v>0</v>
      </c>
      <c r="CT26" s="3">
        <f t="shared" si="13"/>
        <v>0</v>
      </c>
      <c r="CU26" s="3">
        <f t="shared" si="13"/>
        <v>0</v>
      </c>
      <c r="CV26" s="3">
        <f t="shared" si="13"/>
        <v>0</v>
      </c>
      <c r="CW26" s="3">
        <f t="shared" si="13"/>
        <v>0</v>
      </c>
      <c r="CX26" s="3">
        <f t="shared" si="13"/>
        <v>0</v>
      </c>
      <c r="CY26" s="3">
        <f t="shared" si="13"/>
        <v>0</v>
      </c>
      <c r="CZ26" s="3">
        <f t="shared" si="13"/>
        <v>0</v>
      </c>
      <c r="DA26" s="3">
        <f t="shared" si="13"/>
        <v>0</v>
      </c>
      <c r="DB26" s="3">
        <f t="shared" si="13"/>
        <v>0</v>
      </c>
      <c r="DC26" s="3">
        <f t="shared" si="13"/>
        <v>0</v>
      </c>
      <c r="DD26" s="3">
        <f t="shared" si="13"/>
        <v>0</v>
      </c>
      <c r="DE26" s="3">
        <f t="shared" si="13"/>
        <v>0</v>
      </c>
      <c r="DF26" s="3">
        <f t="shared" si="13"/>
        <v>0</v>
      </c>
      <c r="DG26" s="3">
        <f aca="true" t="shared" si="14" ref="DG26:DN26">DG33</f>
        <v>0</v>
      </c>
      <c r="DH26" s="3">
        <f t="shared" si="14"/>
        <v>0</v>
      </c>
      <c r="DI26" s="3">
        <f t="shared" si="14"/>
        <v>0</v>
      </c>
      <c r="DJ26" s="3">
        <f t="shared" si="14"/>
        <v>0</v>
      </c>
      <c r="DK26" s="3">
        <f t="shared" si="14"/>
        <v>0</v>
      </c>
      <c r="DL26" s="3">
        <f t="shared" si="14"/>
        <v>0</v>
      </c>
      <c r="DM26" s="3">
        <f t="shared" si="14"/>
        <v>0</v>
      </c>
      <c r="DN26" s="3">
        <f t="shared" si="14"/>
        <v>0</v>
      </c>
    </row>
    <row r="28" spans="1:200" ht="12.75">
      <c r="A28">
        <v>17</v>
      </c>
      <c r="B28">
        <v>1</v>
      </c>
      <c r="C28">
        <f>ROW(SmtRes!A4)</f>
        <v>4</v>
      </c>
      <c r="D28">
        <f>ROW(EtalonRes!A4)</f>
        <v>4</v>
      </c>
      <c r="E28" t="s">
        <v>16</v>
      </c>
      <c r="F28" t="s">
        <v>17</v>
      </c>
      <c r="G28" t="s">
        <v>18</v>
      </c>
      <c r="H28" t="s">
        <v>19</v>
      </c>
      <c r="I28">
        <v>4.403</v>
      </c>
      <c r="J28">
        <v>0</v>
      </c>
      <c r="O28">
        <f>ROUND(CP28,2)</f>
        <v>6051.25</v>
      </c>
      <c r="P28">
        <f>ROUND(CQ28*I28,2)</f>
        <v>138.74</v>
      </c>
      <c r="Q28">
        <f>ROUND(CR28*I28,2)</f>
        <v>976.16</v>
      </c>
      <c r="R28">
        <f>ROUND(CS28*I28,2)</f>
        <v>300.52</v>
      </c>
      <c r="S28">
        <f>ROUND(CT28*I28,2)</f>
        <v>4936.35</v>
      </c>
      <c r="T28">
        <f>ROUND(CU28*I28,2)</f>
        <v>0</v>
      </c>
      <c r="U28">
        <f>CV28*I28</f>
        <v>29.042628299999993</v>
      </c>
      <c r="V28">
        <f>CW28*I28</f>
        <v>0</v>
      </c>
      <c r="W28">
        <f>ROUND(CX28*I28,2)</f>
        <v>0</v>
      </c>
      <c r="X28">
        <f aca="true" t="shared" si="15" ref="X28:Y31">ROUND(CY28,2)</f>
        <v>4146.53</v>
      </c>
      <c r="Y28">
        <f t="shared" si="15"/>
        <v>2171.99</v>
      </c>
      <c r="AA28">
        <v>24625873</v>
      </c>
      <c r="AB28">
        <f>ROUND((AC28+AD28+AF28),6)</f>
        <v>118.34</v>
      </c>
      <c r="AC28">
        <f aca="true" t="shared" si="16" ref="AC28:AF31">ROUND((ES28),6)</f>
        <v>10.2</v>
      </c>
      <c r="AD28">
        <f t="shared" si="16"/>
        <v>43.75</v>
      </c>
      <c r="AE28">
        <f t="shared" si="16"/>
        <v>3.92</v>
      </c>
      <c r="AF28">
        <f t="shared" si="16"/>
        <v>64.39</v>
      </c>
      <c r="AG28">
        <f>ROUND((AP28),6)</f>
        <v>0</v>
      </c>
      <c r="AH28">
        <f aca="true" t="shared" si="17" ref="AH28:AI31">(EW28)</f>
        <v>6.3</v>
      </c>
      <c r="AI28">
        <f t="shared" si="17"/>
        <v>0</v>
      </c>
      <c r="AJ28">
        <f>ROUND((AS28),6)</f>
        <v>0</v>
      </c>
      <c r="AK28">
        <v>118.34</v>
      </c>
      <c r="AL28">
        <v>10.2</v>
      </c>
      <c r="AM28">
        <v>43.75</v>
      </c>
      <c r="AN28">
        <v>3.92</v>
      </c>
      <c r="AO28">
        <v>64.39</v>
      </c>
      <c r="AP28">
        <v>0</v>
      </c>
      <c r="AQ28">
        <v>6.3</v>
      </c>
      <c r="AR28">
        <v>0</v>
      </c>
      <c r="AS28">
        <v>0</v>
      </c>
      <c r="AT28">
        <v>84</v>
      </c>
      <c r="AU28">
        <v>44</v>
      </c>
      <c r="AV28">
        <v>1.047</v>
      </c>
      <c r="AW28">
        <v>1.003</v>
      </c>
      <c r="AZ28">
        <v>1</v>
      </c>
      <c r="BA28">
        <v>16.63</v>
      </c>
      <c r="BB28">
        <v>4.84</v>
      </c>
      <c r="BC28">
        <v>3.08</v>
      </c>
      <c r="BH28">
        <v>0</v>
      </c>
      <c r="BI28">
        <v>1</v>
      </c>
      <c r="BJ28" t="s">
        <v>20</v>
      </c>
      <c r="BM28">
        <v>473</v>
      </c>
      <c r="BN28">
        <v>0</v>
      </c>
      <c r="BO28" t="s">
        <v>17</v>
      </c>
      <c r="BP28">
        <v>1</v>
      </c>
      <c r="BQ28">
        <v>60</v>
      </c>
      <c r="BR28">
        <v>0</v>
      </c>
      <c r="BS28">
        <v>16.63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84</v>
      </c>
      <c r="CA28">
        <v>44</v>
      </c>
      <c r="CF28">
        <v>0</v>
      </c>
      <c r="CG28">
        <v>0</v>
      </c>
      <c r="CM28">
        <v>0</v>
      </c>
      <c r="CO28">
        <v>0</v>
      </c>
      <c r="CP28">
        <f>(P28+Q28+S28)</f>
        <v>6051.25</v>
      </c>
      <c r="CQ28">
        <f>(AC28*BC28*AW28)</f>
        <v>31.510247999999994</v>
      </c>
      <c r="CR28">
        <f>(AD28*BB28*AV28)</f>
        <v>221.70225</v>
      </c>
      <c r="CS28">
        <f>(AE28*BS28*AV28)</f>
        <v>68.25351119999999</v>
      </c>
      <c r="CT28">
        <f>(AF28*BA28*AV28)</f>
        <v>1121.1335679</v>
      </c>
      <c r="CU28">
        <f>AG28</f>
        <v>0</v>
      </c>
      <c r="CV28">
        <f>(AH28*AV28)</f>
        <v>6.596099999999999</v>
      </c>
      <c r="CW28">
        <f aca="true" t="shared" si="18" ref="CW28:CX31">AI28</f>
        <v>0</v>
      </c>
      <c r="CX28">
        <f t="shared" si="18"/>
        <v>0</v>
      </c>
      <c r="CY28">
        <f>S28*(BZ28/100)</f>
        <v>4146.534000000001</v>
      </c>
      <c r="CZ28">
        <f>S28*(CA28/100)</f>
        <v>2171.994</v>
      </c>
      <c r="DN28">
        <v>100</v>
      </c>
      <c r="DO28">
        <v>64</v>
      </c>
      <c r="DP28">
        <v>1.047</v>
      </c>
      <c r="DQ28">
        <v>1.003</v>
      </c>
      <c r="DU28">
        <v>1005</v>
      </c>
      <c r="DV28" t="s">
        <v>19</v>
      </c>
      <c r="DW28" t="s">
        <v>19</v>
      </c>
      <c r="DX28">
        <v>100</v>
      </c>
      <c r="EE28">
        <v>28574798</v>
      </c>
      <c r="EF28">
        <v>60</v>
      </c>
      <c r="EG28" t="s">
        <v>21</v>
      </c>
      <c r="EH28">
        <v>0</v>
      </c>
      <c r="EJ28">
        <v>1</v>
      </c>
      <c r="EK28">
        <v>473</v>
      </c>
      <c r="EL28" t="s">
        <v>22</v>
      </c>
      <c r="EM28" t="s">
        <v>23</v>
      </c>
      <c r="EQ28">
        <v>0</v>
      </c>
      <c r="ER28">
        <v>118.34</v>
      </c>
      <c r="ES28">
        <v>10.2</v>
      </c>
      <c r="ET28">
        <v>43.75</v>
      </c>
      <c r="EU28">
        <v>3.92</v>
      </c>
      <c r="EV28">
        <v>64.39</v>
      </c>
      <c r="EW28">
        <v>6.3</v>
      </c>
      <c r="EX28">
        <v>0</v>
      </c>
      <c r="EY28">
        <v>0</v>
      </c>
      <c r="FQ28">
        <v>0</v>
      </c>
      <c r="FR28">
        <f>ROUND(IF(AND(BH28=3,BI28=3),P28,0),2)</f>
        <v>0</v>
      </c>
      <c r="FS28">
        <v>0</v>
      </c>
      <c r="FX28">
        <v>84</v>
      </c>
      <c r="FY28">
        <v>44</v>
      </c>
      <c r="GF28">
        <v>-1754515413</v>
      </c>
      <c r="GG28">
        <v>2</v>
      </c>
      <c r="GH28">
        <v>1</v>
      </c>
      <c r="GI28">
        <v>2</v>
      </c>
      <c r="GJ28">
        <v>0</v>
      </c>
      <c r="GK28">
        <f>ROUND(R28*(R12)/100,2)</f>
        <v>507.88</v>
      </c>
      <c r="GL28">
        <f>ROUND(IF(AND(BH28=3,BI28=3,FS28&lt;&gt;0),P28,0),2)</f>
        <v>0</v>
      </c>
      <c r="GM28">
        <f>O28+X28+Y28+GK28</f>
        <v>12877.649999999998</v>
      </c>
      <c r="GN28">
        <f>ROUND(IF(OR(BI28=0,BI28=1),O28+X28+Y28+GK28,0),2)</f>
        <v>12877.65</v>
      </c>
      <c r="GO28">
        <f>ROUND(IF(BI28=2,O28+X28+Y28+GK28,0),2)</f>
        <v>0</v>
      </c>
      <c r="GP28">
        <f>ROUND(IF(BI28=4,O28+X28+Y28+GK28,0),2)</f>
        <v>0</v>
      </c>
      <c r="GR28">
        <v>0</v>
      </c>
    </row>
    <row r="29" spans="1:200" ht="12.75">
      <c r="A29">
        <v>17</v>
      </c>
      <c r="B29">
        <v>1</v>
      </c>
      <c r="E29" t="s">
        <v>24</v>
      </c>
      <c r="F29" t="s">
        <v>25</v>
      </c>
      <c r="G29" t="s">
        <v>26</v>
      </c>
      <c r="H29" t="s">
        <v>27</v>
      </c>
      <c r="I29">
        <v>-15.4105</v>
      </c>
      <c r="J29">
        <v>0</v>
      </c>
      <c r="O29">
        <f>ROUND(CP29,2)</f>
        <v>-932.34</v>
      </c>
      <c r="P29">
        <f>ROUND(CQ29*I29,2)</f>
        <v>0</v>
      </c>
      <c r="Q29">
        <f>ROUND(CR29*I29,2)</f>
        <v>-932.34</v>
      </c>
      <c r="R29">
        <f>ROUND(CS29*I29,2)</f>
        <v>-287.03</v>
      </c>
      <c r="S29">
        <f>ROUND(CT29*I29,2)</f>
        <v>0</v>
      </c>
      <c r="T29">
        <f>ROUND(CU29*I29,2)</f>
        <v>0</v>
      </c>
      <c r="U29">
        <f>CV29*I29</f>
        <v>0</v>
      </c>
      <c r="V29">
        <f>CW29*I29</f>
        <v>0</v>
      </c>
      <c r="W29">
        <f>ROUND(CX29*I29,2)</f>
        <v>0</v>
      </c>
      <c r="X29">
        <f t="shared" si="15"/>
        <v>0</v>
      </c>
      <c r="Y29">
        <f t="shared" si="15"/>
        <v>0</v>
      </c>
      <c r="AA29">
        <v>24625873</v>
      </c>
      <c r="AB29">
        <f>ROUND((AC29+AD29+AF29),6)</f>
        <v>12.5</v>
      </c>
      <c r="AC29">
        <f t="shared" si="16"/>
        <v>0</v>
      </c>
      <c r="AD29">
        <f t="shared" si="16"/>
        <v>12.5</v>
      </c>
      <c r="AE29">
        <f t="shared" si="16"/>
        <v>1.12</v>
      </c>
      <c r="AF29">
        <f t="shared" si="16"/>
        <v>0</v>
      </c>
      <c r="AG29">
        <f>ROUND((AP29),6)</f>
        <v>0</v>
      </c>
      <c r="AH29">
        <f t="shared" si="17"/>
        <v>0</v>
      </c>
      <c r="AI29">
        <f t="shared" si="17"/>
        <v>0</v>
      </c>
      <c r="AJ29">
        <f>ROUND((AS29),6)</f>
        <v>0</v>
      </c>
      <c r="AK29">
        <v>12.5</v>
      </c>
      <c r="AL29">
        <v>0</v>
      </c>
      <c r="AM29">
        <v>12.5</v>
      </c>
      <c r="AN29">
        <v>1.12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</v>
      </c>
      <c r="AW29">
        <v>1</v>
      </c>
      <c r="AZ29">
        <v>1</v>
      </c>
      <c r="BA29">
        <v>1</v>
      </c>
      <c r="BB29">
        <v>4.84</v>
      </c>
      <c r="BC29">
        <v>1</v>
      </c>
      <c r="BH29">
        <v>2</v>
      </c>
      <c r="BI29">
        <v>1</v>
      </c>
      <c r="BJ29" t="s">
        <v>28</v>
      </c>
      <c r="BM29">
        <v>473</v>
      </c>
      <c r="BN29">
        <v>0</v>
      </c>
      <c r="BO29" t="s">
        <v>25</v>
      </c>
      <c r="BP29">
        <v>1</v>
      </c>
      <c r="BQ29">
        <v>60</v>
      </c>
      <c r="BR29">
        <v>1</v>
      </c>
      <c r="BS29">
        <v>16.63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0</v>
      </c>
      <c r="CA29">
        <v>0</v>
      </c>
      <c r="CF29">
        <v>0</v>
      </c>
      <c r="CG29">
        <v>0</v>
      </c>
      <c r="CM29">
        <v>0</v>
      </c>
      <c r="CO29">
        <v>0</v>
      </c>
      <c r="CP29">
        <f>(P29+Q29+S29)</f>
        <v>-932.34</v>
      </c>
      <c r="CQ29">
        <f>(AC29*BC29*AW29)</f>
        <v>0</v>
      </c>
      <c r="CR29">
        <f>(AD29*BB29*AV29)</f>
        <v>60.5</v>
      </c>
      <c r="CS29">
        <f>(AE29*BS29*AV29)</f>
        <v>18.625600000000002</v>
      </c>
      <c r="CT29">
        <f>(AF29*BA29*AV29)</f>
        <v>0</v>
      </c>
      <c r="CU29">
        <f>AG29</f>
        <v>0</v>
      </c>
      <c r="CV29">
        <f>(AH29*AV29)</f>
        <v>0</v>
      </c>
      <c r="CW29">
        <f t="shared" si="18"/>
        <v>0</v>
      </c>
      <c r="CX29">
        <f t="shared" si="18"/>
        <v>0</v>
      </c>
      <c r="CY29">
        <f>S29*(BZ29/100)</f>
        <v>0</v>
      </c>
      <c r="CZ29">
        <f>S29*(CA29/100)</f>
        <v>0</v>
      </c>
      <c r="DN29">
        <v>100</v>
      </c>
      <c r="DO29">
        <v>64</v>
      </c>
      <c r="DP29">
        <v>1.047</v>
      </c>
      <c r="DQ29">
        <v>1.003</v>
      </c>
      <c r="DU29">
        <v>1011</v>
      </c>
      <c r="DV29" t="s">
        <v>27</v>
      </c>
      <c r="DW29" t="s">
        <v>27</v>
      </c>
      <c r="DX29">
        <v>1</v>
      </c>
      <c r="EE29">
        <v>28574798</v>
      </c>
      <c r="EF29">
        <v>60</v>
      </c>
      <c r="EG29" t="s">
        <v>21</v>
      </c>
      <c r="EH29">
        <v>0</v>
      </c>
      <c r="EJ29">
        <v>1</v>
      </c>
      <c r="EK29">
        <v>473</v>
      </c>
      <c r="EL29" t="s">
        <v>22</v>
      </c>
      <c r="EM29" t="s">
        <v>23</v>
      </c>
      <c r="EQ29">
        <v>32768</v>
      </c>
      <c r="ER29">
        <v>12.5</v>
      </c>
      <c r="ES29">
        <v>0</v>
      </c>
      <c r="ET29">
        <v>12.5</v>
      </c>
      <c r="EU29">
        <v>1.12</v>
      </c>
      <c r="EV29">
        <v>0</v>
      </c>
      <c r="EW29">
        <v>0</v>
      </c>
      <c r="EX29">
        <v>0</v>
      </c>
      <c r="EY29">
        <v>0</v>
      </c>
      <c r="FQ29">
        <v>0</v>
      </c>
      <c r="FR29">
        <f>ROUND(IF(AND(BH29=3,BI29=3),P29,0),2)</f>
        <v>0</v>
      </c>
      <c r="FS29">
        <v>0</v>
      </c>
      <c r="FX29">
        <v>0</v>
      </c>
      <c r="FY29">
        <v>0</v>
      </c>
      <c r="GF29">
        <v>-1370831617</v>
      </c>
      <c r="GG29">
        <v>2</v>
      </c>
      <c r="GH29">
        <v>1</v>
      </c>
      <c r="GI29">
        <v>2</v>
      </c>
      <c r="GJ29">
        <v>0</v>
      </c>
      <c r="GK29">
        <f>ROUND(R29*(R12)/100,2)</f>
        <v>-485.08</v>
      </c>
      <c r="GL29">
        <f>ROUND(IF(AND(BH29=3,BI29=3,FS29&lt;&gt;0),P29,0),2)</f>
        <v>0</v>
      </c>
      <c r="GM29">
        <f>O29+X29+Y29+GK29</f>
        <v>-1417.42</v>
      </c>
      <c r="GN29">
        <f>ROUND(IF(OR(BI29=0,BI29=1),O29+X29+Y29+GK29,0),2)</f>
        <v>-1417.42</v>
      </c>
      <c r="GO29">
        <f>ROUND(IF(BI29=2,O29+X29+Y29+GK29,0),2)</f>
        <v>0</v>
      </c>
      <c r="GP29">
        <f>ROUND(IF(BI29=4,O29+X29+Y29+GK29,0),2)</f>
        <v>0</v>
      </c>
      <c r="GR29">
        <v>0</v>
      </c>
    </row>
    <row r="30" spans="1:200" ht="12.75">
      <c r="A30">
        <v>17</v>
      </c>
      <c r="B30">
        <v>1</v>
      </c>
      <c r="C30">
        <f>ROW(SmtRes!A5)</f>
        <v>5</v>
      </c>
      <c r="D30">
        <f>ROW(EtalonRes!A5)</f>
        <v>5</v>
      </c>
      <c r="E30" t="s">
        <v>29</v>
      </c>
      <c r="F30" t="s">
        <v>30</v>
      </c>
      <c r="G30" t="s">
        <v>31</v>
      </c>
      <c r="H30" t="s">
        <v>32</v>
      </c>
      <c r="I30">
        <v>3</v>
      </c>
      <c r="J30">
        <v>0</v>
      </c>
      <c r="O30">
        <f>ROUND(CP30,2)</f>
        <v>2705.53</v>
      </c>
      <c r="P30">
        <f>ROUND(CQ30*I30,2)</f>
        <v>0</v>
      </c>
      <c r="Q30">
        <f>ROUND(CR30*I30,2)</f>
        <v>0</v>
      </c>
      <c r="R30">
        <f>ROUND(CS30*I30,2)</f>
        <v>0</v>
      </c>
      <c r="S30">
        <f>ROUND(CT30*I30,2)</f>
        <v>2705.53</v>
      </c>
      <c r="T30">
        <f>ROUND(CU30*I30,2)</f>
        <v>0</v>
      </c>
      <c r="U30">
        <f>CV30*I30</f>
        <v>11.19</v>
      </c>
      <c r="V30">
        <f>CW30*I30</f>
        <v>0</v>
      </c>
      <c r="W30">
        <f>ROUND(CX30*I30,2)</f>
        <v>0</v>
      </c>
      <c r="X30">
        <f t="shared" si="15"/>
        <v>2056.2</v>
      </c>
      <c r="Y30">
        <f t="shared" si="15"/>
        <v>1190.43</v>
      </c>
      <c r="AA30">
        <v>24625873</v>
      </c>
      <c r="AB30">
        <f>ROUND((AC30+AD30+AF30),6)</f>
        <v>54.23</v>
      </c>
      <c r="AC30">
        <f t="shared" si="16"/>
        <v>0</v>
      </c>
      <c r="AD30">
        <f t="shared" si="16"/>
        <v>0</v>
      </c>
      <c r="AE30">
        <f t="shared" si="16"/>
        <v>0</v>
      </c>
      <c r="AF30">
        <f t="shared" si="16"/>
        <v>54.23</v>
      </c>
      <c r="AG30">
        <f>ROUND((AP30),6)</f>
        <v>0</v>
      </c>
      <c r="AH30">
        <f t="shared" si="17"/>
        <v>3.73</v>
      </c>
      <c r="AI30">
        <f t="shared" si="17"/>
        <v>0</v>
      </c>
      <c r="AJ30">
        <f>ROUND((AS30),6)</f>
        <v>0</v>
      </c>
      <c r="AK30">
        <v>54.23</v>
      </c>
      <c r="AL30">
        <v>0</v>
      </c>
      <c r="AM30">
        <v>0</v>
      </c>
      <c r="AN30">
        <v>0</v>
      </c>
      <c r="AO30">
        <v>54.23</v>
      </c>
      <c r="AP30">
        <v>0</v>
      </c>
      <c r="AQ30">
        <v>3.73</v>
      </c>
      <c r="AR30">
        <v>0</v>
      </c>
      <c r="AS30">
        <v>0</v>
      </c>
      <c r="AT30">
        <v>76</v>
      </c>
      <c r="AU30">
        <v>44</v>
      </c>
      <c r="AV30">
        <v>1</v>
      </c>
      <c r="AW30">
        <v>1</v>
      </c>
      <c r="AZ30">
        <v>1</v>
      </c>
      <c r="BA30">
        <v>16.63</v>
      </c>
      <c r="BB30">
        <v>1</v>
      </c>
      <c r="BC30">
        <v>1</v>
      </c>
      <c r="BH30">
        <v>0</v>
      </c>
      <c r="BI30">
        <v>1</v>
      </c>
      <c r="BJ30" t="s">
        <v>33</v>
      </c>
      <c r="BM30">
        <v>682</v>
      </c>
      <c r="BN30">
        <v>0</v>
      </c>
      <c r="BO30" t="s">
        <v>30</v>
      </c>
      <c r="BP30">
        <v>1</v>
      </c>
      <c r="BQ30">
        <v>60</v>
      </c>
      <c r="BR30">
        <v>0</v>
      </c>
      <c r="BS30">
        <v>16.63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76</v>
      </c>
      <c r="CA30">
        <v>44</v>
      </c>
      <c r="CF30">
        <v>0</v>
      </c>
      <c r="CG30">
        <v>0</v>
      </c>
      <c r="CM30">
        <v>0</v>
      </c>
      <c r="CO30">
        <v>0</v>
      </c>
      <c r="CP30">
        <f>(P30+Q30+S30)</f>
        <v>2705.53</v>
      </c>
      <c r="CQ30">
        <f>(AC30*BC30*AW30)</f>
        <v>0</v>
      </c>
      <c r="CR30">
        <f>(AD30*BB30*AV30)</f>
        <v>0</v>
      </c>
      <c r="CS30">
        <f>(AE30*BS30*AV30)</f>
        <v>0</v>
      </c>
      <c r="CT30">
        <f>(AF30*BA30*AV30)</f>
        <v>901.8448999999999</v>
      </c>
      <c r="CU30">
        <f>AG30</f>
        <v>0</v>
      </c>
      <c r="CV30">
        <f>(AH30*AV30)</f>
        <v>3.73</v>
      </c>
      <c r="CW30">
        <f t="shared" si="18"/>
        <v>0</v>
      </c>
      <c r="CX30">
        <f t="shared" si="18"/>
        <v>0</v>
      </c>
      <c r="CY30">
        <f>S30*(BZ30/100)</f>
        <v>2056.2028</v>
      </c>
      <c r="CZ30">
        <f>S30*(CA30/100)</f>
        <v>1190.4332000000002</v>
      </c>
      <c r="DN30">
        <v>91</v>
      </c>
      <c r="DO30">
        <v>70</v>
      </c>
      <c r="DP30">
        <v>1.047</v>
      </c>
      <c r="DQ30">
        <v>1.002</v>
      </c>
      <c r="DU30">
        <v>1010</v>
      </c>
      <c r="DV30" t="s">
        <v>32</v>
      </c>
      <c r="DW30" t="s">
        <v>32</v>
      </c>
      <c r="DX30">
        <v>1</v>
      </c>
      <c r="EE30">
        <v>28575007</v>
      </c>
      <c r="EF30">
        <v>60</v>
      </c>
      <c r="EG30" t="s">
        <v>21</v>
      </c>
      <c r="EH30">
        <v>0</v>
      </c>
      <c r="EJ30">
        <v>1</v>
      </c>
      <c r="EK30">
        <v>682</v>
      </c>
      <c r="EL30" t="s">
        <v>34</v>
      </c>
      <c r="EM30" t="s">
        <v>35</v>
      </c>
      <c r="EQ30">
        <v>0</v>
      </c>
      <c r="ER30">
        <v>54.23</v>
      </c>
      <c r="ES30">
        <v>0</v>
      </c>
      <c r="ET30">
        <v>0</v>
      </c>
      <c r="EU30">
        <v>0</v>
      </c>
      <c r="EV30">
        <v>54.23</v>
      </c>
      <c r="EW30">
        <v>3.73</v>
      </c>
      <c r="EX30">
        <v>0</v>
      </c>
      <c r="EY30">
        <v>0</v>
      </c>
      <c r="FQ30">
        <v>0</v>
      </c>
      <c r="FR30">
        <f>ROUND(IF(AND(BH30=3,BI30=3),P30,0),2)</f>
        <v>0</v>
      </c>
      <c r="FS30">
        <v>0</v>
      </c>
      <c r="FX30">
        <v>76</v>
      </c>
      <c r="FY30">
        <v>44</v>
      </c>
      <c r="GF30">
        <v>1661821205</v>
      </c>
      <c r="GG30">
        <v>2</v>
      </c>
      <c r="GH30">
        <v>1</v>
      </c>
      <c r="GI30">
        <v>2</v>
      </c>
      <c r="GJ30">
        <v>0</v>
      </c>
      <c r="GK30">
        <f>ROUND(R30*(R12)/100,2)</f>
        <v>0</v>
      </c>
      <c r="GL30">
        <f>ROUND(IF(AND(BH30=3,BI30=3,FS30&lt;&gt;0),P30,0),2)</f>
        <v>0</v>
      </c>
      <c r="GM30">
        <f>O30+X30+Y30+GK30</f>
        <v>5952.16</v>
      </c>
      <c r="GN30">
        <f>ROUND(IF(OR(BI30=0,BI30=1),O30+X30+Y30+GK30,0),2)</f>
        <v>5952.16</v>
      </c>
      <c r="GO30">
        <f>ROUND(IF(BI30=2,O30+X30+Y30+GK30,0),2)</f>
        <v>0</v>
      </c>
      <c r="GP30">
        <f>ROUND(IF(BI30=4,O30+X30+Y30+GK30,0),2)</f>
        <v>0</v>
      </c>
      <c r="GR30">
        <v>0</v>
      </c>
    </row>
    <row r="31" spans="1:200" ht="12.75">
      <c r="A31">
        <v>17</v>
      </c>
      <c r="B31">
        <v>1</v>
      </c>
      <c r="C31">
        <f>ROW(SmtRes!A6)</f>
        <v>6</v>
      </c>
      <c r="D31">
        <f>ROW(EtalonRes!A6)</f>
        <v>6</v>
      </c>
      <c r="E31" t="s">
        <v>36</v>
      </c>
      <c r="F31" t="s">
        <v>37</v>
      </c>
      <c r="G31" t="s">
        <v>38</v>
      </c>
      <c r="H31" t="s">
        <v>32</v>
      </c>
      <c r="I31">
        <v>18</v>
      </c>
      <c r="J31">
        <v>0</v>
      </c>
      <c r="O31">
        <f>ROUND(CP31,2)</f>
        <v>10096.74</v>
      </c>
      <c r="P31">
        <f>ROUND(CQ31*I31,2)</f>
        <v>0</v>
      </c>
      <c r="Q31">
        <f>ROUND(CR31*I31,2)</f>
        <v>0</v>
      </c>
      <c r="R31">
        <f>ROUND(CS31*I31,2)</f>
        <v>0</v>
      </c>
      <c r="S31">
        <f>ROUND(CT31*I31,2)</f>
        <v>10096.74</v>
      </c>
      <c r="T31">
        <f>ROUND(CU31*I31,2)</f>
        <v>0</v>
      </c>
      <c r="U31">
        <f>CV31*I31</f>
        <v>41.76</v>
      </c>
      <c r="V31">
        <f>CW31*I31</f>
        <v>0</v>
      </c>
      <c r="W31">
        <f>ROUND(CX31*I31,2)</f>
        <v>0</v>
      </c>
      <c r="X31">
        <f t="shared" si="15"/>
        <v>7673.52</v>
      </c>
      <c r="Y31">
        <f t="shared" si="15"/>
        <v>4442.57</v>
      </c>
      <c r="AA31">
        <v>24625873</v>
      </c>
      <c r="AB31">
        <f>ROUND((AC31+AD31+AF31),6)</f>
        <v>33.73</v>
      </c>
      <c r="AC31">
        <f t="shared" si="16"/>
        <v>0</v>
      </c>
      <c r="AD31">
        <f t="shared" si="16"/>
        <v>0</v>
      </c>
      <c r="AE31">
        <f t="shared" si="16"/>
        <v>0</v>
      </c>
      <c r="AF31">
        <f t="shared" si="16"/>
        <v>33.73</v>
      </c>
      <c r="AG31">
        <f>ROUND((AP31),6)</f>
        <v>0</v>
      </c>
      <c r="AH31">
        <f t="shared" si="17"/>
        <v>2.32</v>
      </c>
      <c r="AI31">
        <f t="shared" si="17"/>
        <v>0</v>
      </c>
      <c r="AJ31">
        <f>ROUND((AS31),6)</f>
        <v>0</v>
      </c>
      <c r="AK31">
        <v>33.73</v>
      </c>
      <c r="AL31">
        <v>0</v>
      </c>
      <c r="AM31">
        <v>0</v>
      </c>
      <c r="AN31">
        <v>0</v>
      </c>
      <c r="AO31">
        <v>33.73</v>
      </c>
      <c r="AP31">
        <v>0</v>
      </c>
      <c r="AQ31">
        <v>2.32</v>
      </c>
      <c r="AR31">
        <v>0</v>
      </c>
      <c r="AS31">
        <v>0</v>
      </c>
      <c r="AT31">
        <v>76</v>
      </c>
      <c r="AU31">
        <v>44</v>
      </c>
      <c r="AV31">
        <v>1</v>
      </c>
      <c r="AW31">
        <v>1</v>
      </c>
      <c r="AZ31">
        <v>1</v>
      </c>
      <c r="BA31">
        <v>16.63</v>
      </c>
      <c r="BB31">
        <v>1</v>
      </c>
      <c r="BC31">
        <v>1</v>
      </c>
      <c r="BH31">
        <v>0</v>
      </c>
      <c r="BI31">
        <v>1</v>
      </c>
      <c r="BJ31" t="s">
        <v>39</v>
      </c>
      <c r="BM31">
        <v>682</v>
      </c>
      <c r="BN31">
        <v>0</v>
      </c>
      <c r="BO31" t="s">
        <v>37</v>
      </c>
      <c r="BP31">
        <v>1</v>
      </c>
      <c r="BQ31">
        <v>60</v>
      </c>
      <c r="BR31">
        <v>0</v>
      </c>
      <c r="BS31">
        <v>16.63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76</v>
      </c>
      <c r="CA31">
        <v>44</v>
      </c>
      <c r="CF31">
        <v>0</v>
      </c>
      <c r="CG31">
        <v>0</v>
      </c>
      <c r="CM31">
        <v>0</v>
      </c>
      <c r="CO31">
        <v>0</v>
      </c>
      <c r="CP31">
        <f>(P31+Q31+S31)</f>
        <v>10096.74</v>
      </c>
      <c r="CQ31">
        <f>(AC31*BC31*AW31)</f>
        <v>0</v>
      </c>
      <c r="CR31">
        <f>(AD31*BB31*AV31)</f>
        <v>0</v>
      </c>
      <c r="CS31">
        <f>(AE31*BS31*AV31)</f>
        <v>0</v>
      </c>
      <c r="CT31">
        <f>(AF31*BA31*AV31)</f>
        <v>560.9298999999999</v>
      </c>
      <c r="CU31">
        <f>AG31</f>
        <v>0</v>
      </c>
      <c r="CV31">
        <f>(AH31*AV31)</f>
        <v>2.32</v>
      </c>
      <c r="CW31">
        <f t="shared" si="18"/>
        <v>0</v>
      </c>
      <c r="CX31">
        <f t="shared" si="18"/>
        <v>0</v>
      </c>
      <c r="CY31">
        <f>S31*(BZ31/100)</f>
        <v>7673.5224</v>
      </c>
      <c r="CZ31">
        <f>S31*(CA31/100)</f>
        <v>4442.5656</v>
      </c>
      <c r="DN31">
        <v>91</v>
      </c>
      <c r="DO31">
        <v>70</v>
      </c>
      <c r="DP31">
        <v>1.047</v>
      </c>
      <c r="DQ31">
        <v>1.002</v>
      </c>
      <c r="DU31">
        <v>1010</v>
      </c>
      <c r="DV31" t="s">
        <v>32</v>
      </c>
      <c r="DW31" t="s">
        <v>32</v>
      </c>
      <c r="DX31">
        <v>1</v>
      </c>
      <c r="EE31">
        <v>28575007</v>
      </c>
      <c r="EF31">
        <v>60</v>
      </c>
      <c r="EG31" t="s">
        <v>21</v>
      </c>
      <c r="EH31">
        <v>0</v>
      </c>
      <c r="EJ31">
        <v>1</v>
      </c>
      <c r="EK31">
        <v>682</v>
      </c>
      <c r="EL31" t="s">
        <v>34</v>
      </c>
      <c r="EM31" t="s">
        <v>35</v>
      </c>
      <c r="EQ31">
        <v>0</v>
      </c>
      <c r="ER31">
        <v>33.73</v>
      </c>
      <c r="ES31">
        <v>0</v>
      </c>
      <c r="ET31">
        <v>0</v>
      </c>
      <c r="EU31">
        <v>0</v>
      </c>
      <c r="EV31">
        <v>33.73</v>
      </c>
      <c r="EW31">
        <v>2.32</v>
      </c>
      <c r="EX31">
        <v>0</v>
      </c>
      <c r="EY31">
        <v>0</v>
      </c>
      <c r="FQ31">
        <v>0</v>
      </c>
      <c r="FR31">
        <f>ROUND(IF(AND(BH31=3,BI31=3),P31,0),2)</f>
        <v>0</v>
      </c>
      <c r="FS31">
        <v>0</v>
      </c>
      <c r="FX31">
        <v>76</v>
      </c>
      <c r="FY31">
        <v>44</v>
      </c>
      <c r="GF31">
        <v>-325190519</v>
      </c>
      <c r="GG31">
        <v>2</v>
      </c>
      <c r="GH31">
        <v>1</v>
      </c>
      <c r="GI31">
        <v>2</v>
      </c>
      <c r="GJ31">
        <v>0</v>
      </c>
      <c r="GK31">
        <f>ROUND(R31*(R12)/100,2)</f>
        <v>0</v>
      </c>
      <c r="GL31">
        <f>ROUND(IF(AND(BH31=3,BI31=3,FS31&lt;&gt;0),P31,0),2)</f>
        <v>0</v>
      </c>
      <c r="GM31">
        <f>O31+X31+Y31+GK31</f>
        <v>22212.83</v>
      </c>
      <c r="GN31">
        <f>ROUND(IF(OR(BI31=0,BI31=1),O31+X31+Y31+GK31,0),2)</f>
        <v>22212.83</v>
      </c>
      <c r="GO31">
        <f>ROUND(IF(BI31=2,O31+X31+Y31+GK31,0),2)</f>
        <v>0</v>
      </c>
      <c r="GP31">
        <f>ROUND(IF(BI31=4,O31+X31+Y31+GK31,0),2)</f>
        <v>0</v>
      </c>
      <c r="GR31">
        <v>0</v>
      </c>
    </row>
    <row r="33" spans="1:118" ht="12.75">
      <c r="A33" s="2">
        <v>51</v>
      </c>
      <c r="B33" s="2">
        <f>B24</f>
        <v>1</v>
      </c>
      <c r="C33" s="2">
        <f>A24</f>
        <v>4</v>
      </c>
      <c r="D33" s="2">
        <f>ROW(A24)</f>
        <v>24</v>
      </c>
      <c r="E33" s="2"/>
      <c r="F33" s="2" t="str">
        <f>IF(F24&lt;&gt;"",F24,"")</f>
        <v>Новый раздел</v>
      </c>
      <c r="G33" s="2" t="str">
        <f>IF(G24&lt;&gt;"",G24,"")</f>
        <v>Колымажный пер. 4с1</v>
      </c>
      <c r="H33" s="2"/>
      <c r="I33" s="2"/>
      <c r="J33" s="2"/>
      <c r="K33" s="2"/>
      <c r="L33" s="2"/>
      <c r="M33" s="2"/>
      <c r="N33" s="2"/>
      <c r="O33" s="2">
        <f aca="true" t="shared" si="19" ref="O33:T33">ROUND(AB33,2)</f>
        <v>17921.18</v>
      </c>
      <c r="P33" s="2">
        <f t="shared" si="19"/>
        <v>138.74</v>
      </c>
      <c r="Q33" s="2">
        <f t="shared" si="19"/>
        <v>43.82</v>
      </c>
      <c r="R33" s="2">
        <f t="shared" si="19"/>
        <v>13.49</v>
      </c>
      <c r="S33" s="2">
        <f t="shared" si="19"/>
        <v>17738.62</v>
      </c>
      <c r="T33" s="2">
        <f t="shared" si="19"/>
        <v>0</v>
      </c>
      <c r="U33" s="2">
        <f>AH33</f>
        <v>81.99262829999999</v>
      </c>
      <c r="V33" s="2">
        <f>AI33</f>
        <v>0</v>
      </c>
      <c r="W33" s="2">
        <f>ROUND(AJ33,2)</f>
        <v>0</v>
      </c>
      <c r="X33" s="2">
        <f>ROUND(AK33,2)</f>
        <v>13876.25</v>
      </c>
      <c r="Y33" s="2">
        <f>ROUND(AL33,2)</f>
        <v>7804.99</v>
      </c>
      <c r="Z33" s="2"/>
      <c r="AA33" s="2"/>
      <c r="AB33" s="2">
        <f>ROUND(SUMIF(AA28:AA31,"=24625873",O28:O31),2)</f>
        <v>17921.18</v>
      </c>
      <c r="AC33" s="2">
        <f>ROUND(SUMIF(AA28:AA31,"=24625873",P28:P31),2)</f>
        <v>138.74</v>
      </c>
      <c r="AD33" s="2">
        <f>ROUND(SUMIF(AA28:AA31,"=24625873",Q28:Q31),2)</f>
        <v>43.82</v>
      </c>
      <c r="AE33" s="2">
        <f>ROUND(SUMIF(AA28:AA31,"=24625873",R28:R31),2)</f>
        <v>13.49</v>
      </c>
      <c r="AF33" s="2">
        <f>ROUND(SUMIF(AA28:AA31,"=24625873",S28:S31),2)</f>
        <v>17738.62</v>
      </c>
      <c r="AG33" s="2">
        <f>ROUND(SUMIF(AA28:AA31,"=24625873",T28:T31),2)</f>
        <v>0</v>
      </c>
      <c r="AH33" s="2">
        <f>SUMIF(AA28:AA31,"=24625873",U28:U31)</f>
        <v>81.99262829999999</v>
      </c>
      <c r="AI33" s="2">
        <f>SUMIF(AA28:AA31,"=24625873",V28:V31)</f>
        <v>0</v>
      </c>
      <c r="AJ33" s="2">
        <f>ROUND(SUMIF(AA28:AA31,"=24625873",W28:W31),2)</f>
        <v>0</v>
      </c>
      <c r="AK33" s="2">
        <f>ROUND(SUMIF(AA28:AA31,"=24625873",X28:X31),2)</f>
        <v>13876.25</v>
      </c>
      <c r="AL33" s="2">
        <f>ROUND(SUMIF(AA28:AA31,"=24625873",Y28:Y31),2)</f>
        <v>7804.99</v>
      </c>
      <c r="AM33" s="2"/>
      <c r="AN33" s="2"/>
      <c r="AO33" s="2">
        <f aca="true" t="shared" si="20" ref="AO33:AZ33">ROUND(BB33,2)</f>
        <v>0</v>
      </c>
      <c r="AP33" s="2">
        <f t="shared" si="20"/>
        <v>0</v>
      </c>
      <c r="AQ33" s="2">
        <f t="shared" si="20"/>
        <v>0</v>
      </c>
      <c r="AR33" s="2">
        <f t="shared" si="20"/>
        <v>39625.22</v>
      </c>
      <c r="AS33" s="2">
        <f t="shared" si="20"/>
        <v>39625.22</v>
      </c>
      <c r="AT33" s="2">
        <f t="shared" si="20"/>
        <v>0</v>
      </c>
      <c r="AU33" s="2">
        <f t="shared" si="20"/>
        <v>0</v>
      </c>
      <c r="AV33" s="2">
        <f t="shared" si="20"/>
        <v>138.74</v>
      </c>
      <c r="AW33" s="2">
        <f t="shared" si="20"/>
        <v>138.74</v>
      </c>
      <c r="AX33" s="2">
        <f t="shared" si="20"/>
        <v>0</v>
      </c>
      <c r="AY33" s="2">
        <f t="shared" si="20"/>
        <v>138.74</v>
      </c>
      <c r="AZ33" s="2">
        <f t="shared" si="20"/>
        <v>0</v>
      </c>
      <c r="BA33" s="2"/>
      <c r="BB33" s="2">
        <f>ROUND(SUMIF(AA28:AA31,"=24625873",FQ28:FQ31),2)</f>
        <v>0</v>
      </c>
      <c r="BC33" s="2">
        <f>ROUND(SUMIF(AA28:AA31,"=24625873",FR28:FR31),2)</f>
        <v>0</v>
      </c>
      <c r="BD33" s="2">
        <f>ROUND(SUMIF(AA28:AA31,"=24625873",GL28:GL31),2)</f>
        <v>0</v>
      </c>
      <c r="BE33" s="2">
        <f>ROUND(SUMIF(AA28:AA31,"=24625873",GM28:GM31),2)</f>
        <v>39625.22</v>
      </c>
      <c r="BF33" s="2">
        <f>ROUND(SUMIF(AA28:AA31,"=24625873",GN28:GN31),2)</f>
        <v>39625.22</v>
      </c>
      <c r="BG33" s="2">
        <f>ROUND(SUMIF(AA28:AA31,"=24625873",GO28:GO31),2)</f>
        <v>0</v>
      </c>
      <c r="BH33" s="2">
        <f>ROUND(SUMIF(AA28:AA31,"=24625873",GP28:GP31),2)</f>
        <v>0</v>
      </c>
      <c r="BI33" s="2">
        <f>AC33-BB33</f>
        <v>138.74</v>
      </c>
      <c r="BJ33" s="2">
        <f>AC33-BC33</f>
        <v>138.74</v>
      </c>
      <c r="BK33" s="2">
        <f>BB33-BD33</f>
        <v>0</v>
      </c>
      <c r="BL33" s="2">
        <f>AC33-BB33-BC33+BD33</f>
        <v>138.74</v>
      </c>
      <c r="BM33" s="2">
        <f>BC33-BD33</f>
        <v>0</v>
      </c>
      <c r="BN33" s="2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>
        <v>0</v>
      </c>
    </row>
    <row r="35" spans="1:16" ht="12.75">
      <c r="A35" s="4">
        <v>50</v>
      </c>
      <c r="B35" s="4">
        <v>0</v>
      </c>
      <c r="C35" s="4">
        <v>0</v>
      </c>
      <c r="D35" s="4">
        <v>1</v>
      </c>
      <c r="E35" s="4">
        <v>201</v>
      </c>
      <c r="F35" s="4">
        <f>ROUND(Source!O33,O35)</f>
        <v>17921.18</v>
      </c>
      <c r="G35" s="4" t="s">
        <v>40</v>
      </c>
      <c r="H35" s="4" t="s">
        <v>41</v>
      </c>
      <c r="I35" s="4"/>
      <c r="J35" s="4"/>
      <c r="K35" s="4">
        <v>201</v>
      </c>
      <c r="L35" s="4">
        <v>1</v>
      </c>
      <c r="M35" s="4">
        <v>3</v>
      </c>
      <c r="N35" s="4" t="s">
        <v>3</v>
      </c>
      <c r="O35" s="4">
        <v>2</v>
      </c>
      <c r="P35" s="4"/>
    </row>
    <row r="36" spans="1:16" ht="12.75">
      <c r="A36" s="4">
        <v>50</v>
      </c>
      <c r="B36" s="4">
        <v>0</v>
      </c>
      <c r="C36" s="4">
        <v>0</v>
      </c>
      <c r="D36" s="4">
        <v>1</v>
      </c>
      <c r="E36" s="4">
        <v>202</v>
      </c>
      <c r="F36" s="4">
        <f>ROUND(Source!P33,O36)</f>
        <v>138.74</v>
      </c>
      <c r="G36" s="4" t="s">
        <v>42</v>
      </c>
      <c r="H36" s="4" t="s">
        <v>43</v>
      </c>
      <c r="I36" s="4"/>
      <c r="J36" s="4"/>
      <c r="K36" s="4">
        <v>202</v>
      </c>
      <c r="L36" s="4">
        <v>2</v>
      </c>
      <c r="M36" s="4">
        <v>3</v>
      </c>
      <c r="N36" s="4" t="s">
        <v>3</v>
      </c>
      <c r="O36" s="4">
        <v>2</v>
      </c>
      <c r="P36" s="4"/>
    </row>
    <row r="37" spans="1:16" ht="12.75">
      <c r="A37" s="4">
        <v>50</v>
      </c>
      <c r="B37" s="4">
        <v>0</v>
      </c>
      <c r="C37" s="4">
        <v>0</v>
      </c>
      <c r="D37" s="4">
        <v>1</v>
      </c>
      <c r="E37" s="4">
        <v>222</v>
      </c>
      <c r="F37" s="4">
        <f>ROUND(Source!AO33,O37)</f>
        <v>0</v>
      </c>
      <c r="G37" s="4" t="s">
        <v>44</v>
      </c>
      <c r="H37" s="4" t="s">
        <v>45</v>
      </c>
      <c r="I37" s="4"/>
      <c r="J37" s="4"/>
      <c r="K37" s="4">
        <v>222</v>
      </c>
      <c r="L37" s="4">
        <v>3</v>
      </c>
      <c r="M37" s="4">
        <v>3</v>
      </c>
      <c r="N37" s="4" t="s">
        <v>3</v>
      </c>
      <c r="O37" s="4">
        <v>2</v>
      </c>
      <c r="P37" s="4"/>
    </row>
    <row r="38" spans="1:16" ht="12.75">
      <c r="A38" s="4">
        <v>50</v>
      </c>
      <c r="B38" s="4">
        <v>0</v>
      </c>
      <c r="C38" s="4">
        <v>0</v>
      </c>
      <c r="D38" s="4">
        <v>1</v>
      </c>
      <c r="E38" s="4">
        <v>225</v>
      </c>
      <c r="F38" s="4">
        <f>ROUND(Source!AV33,O38)</f>
        <v>138.74</v>
      </c>
      <c r="G38" s="4" t="s">
        <v>46</v>
      </c>
      <c r="H38" s="4" t="s">
        <v>47</v>
      </c>
      <c r="I38" s="4"/>
      <c r="J38" s="4"/>
      <c r="K38" s="4">
        <v>225</v>
      </c>
      <c r="L38" s="4">
        <v>4</v>
      </c>
      <c r="M38" s="4">
        <v>3</v>
      </c>
      <c r="N38" s="4" t="s">
        <v>3</v>
      </c>
      <c r="O38" s="4">
        <v>2</v>
      </c>
      <c r="P38" s="4"/>
    </row>
    <row r="39" spans="1:16" ht="12.75">
      <c r="A39" s="4">
        <v>50</v>
      </c>
      <c r="B39" s="4">
        <v>0</v>
      </c>
      <c r="C39" s="4">
        <v>0</v>
      </c>
      <c r="D39" s="4">
        <v>1</v>
      </c>
      <c r="E39" s="4">
        <v>226</v>
      </c>
      <c r="F39" s="4">
        <f>ROUND(Source!AW33,O39)</f>
        <v>138.74</v>
      </c>
      <c r="G39" s="4" t="s">
        <v>48</v>
      </c>
      <c r="H39" s="4" t="s">
        <v>49</v>
      </c>
      <c r="I39" s="4"/>
      <c r="J39" s="4"/>
      <c r="K39" s="4">
        <v>226</v>
      </c>
      <c r="L39" s="4">
        <v>5</v>
      </c>
      <c r="M39" s="4">
        <v>3</v>
      </c>
      <c r="N39" s="4" t="s">
        <v>3</v>
      </c>
      <c r="O39" s="4">
        <v>2</v>
      </c>
      <c r="P39" s="4"/>
    </row>
    <row r="40" spans="1:16" ht="12.75">
      <c r="A40" s="4">
        <v>50</v>
      </c>
      <c r="B40" s="4">
        <v>0</v>
      </c>
      <c r="C40" s="4">
        <v>0</v>
      </c>
      <c r="D40" s="4">
        <v>1</v>
      </c>
      <c r="E40" s="4">
        <v>227</v>
      </c>
      <c r="F40" s="4">
        <f>ROUND(Source!AX33,O40)</f>
        <v>0</v>
      </c>
      <c r="G40" s="4" t="s">
        <v>50</v>
      </c>
      <c r="H40" s="4" t="s">
        <v>51</v>
      </c>
      <c r="I40" s="4"/>
      <c r="J40" s="4"/>
      <c r="K40" s="4">
        <v>227</v>
      </c>
      <c r="L40" s="4">
        <v>6</v>
      </c>
      <c r="M40" s="4">
        <v>3</v>
      </c>
      <c r="N40" s="4" t="s">
        <v>3</v>
      </c>
      <c r="O40" s="4">
        <v>2</v>
      </c>
      <c r="P40" s="4"/>
    </row>
    <row r="41" spans="1:16" ht="12.75">
      <c r="A41" s="4">
        <v>50</v>
      </c>
      <c r="B41" s="4">
        <v>0</v>
      </c>
      <c r="C41" s="4">
        <v>0</v>
      </c>
      <c r="D41" s="4">
        <v>1</v>
      </c>
      <c r="E41" s="4">
        <v>228</v>
      </c>
      <c r="F41" s="4">
        <f>ROUND(Source!AY33,O41)</f>
        <v>138.74</v>
      </c>
      <c r="G41" s="4" t="s">
        <v>52</v>
      </c>
      <c r="H41" s="4" t="s">
        <v>53</v>
      </c>
      <c r="I41" s="4"/>
      <c r="J41" s="4"/>
      <c r="K41" s="4">
        <v>228</v>
      </c>
      <c r="L41" s="4">
        <v>7</v>
      </c>
      <c r="M41" s="4">
        <v>3</v>
      </c>
      <c r="N41" s="4" t="s">
        <v>3</v>
      </c>
      <c r="O41" s="4">
        <v>2</v>
      </c>
      <c r="P41" s="4"/>
    </row>
    <row r="42" spans="1:16" ht="12.75">
      <c r="A42" s="4">
        <v>50</v>
      </c>
      <c r="B42" s="4">
        <v>0</v>
      </c>
      <c r="C42" s="4">
        <v>0</v>
      </c>
      <c r="D42" s="4">
        <v>1</v>
      </c>
      <c r="E42" s="4">
        <v>216</v>
      </c>
      <c r="F42" s="4">
        <f>ROUND(Source!AP33,O42)</f>
        <v>0</v>
      </c>
      <c r="G42" s="4" t="s">
        <v>54</v>
      </c>
      <c r="H42" s="4" t="s">
        <v>55</v>
      </c>
      <c r="I42" s="4"/>
      <c r="J42" s="4"/>
      <c r="K42" s="4">
        <v>216</v>
      </c>
      <c r="L42" s="4">
        <v>8</v>
      </c>
      <c r="M42" s="4">
        <v>3</v>
      </c>
      <c r="N42" s="4" t="s">
        <v>3</v>
      </c>
      <c r="O42" s="4">
        <v>2</v>
      </c>
      <c r="P42" s="4"/>
    </row>
    <row r="43" spans="1:16" ht="12.75">
      <c r="A43" s="4">
        <v>50</v>
      </c>
      <c r="B43" s="4">
        <v>0</v>
      </c>
      <c r="C43" s="4">
        <v>0</v>
      </c>
      <c r="D43" s="4">
        <v>1</v>
      </c>
      <c r="E43" s="4">
        <v>223</v>
      </c>
      <c r="F43" s="4">
        <f>ROUND(Source!AQ33,O43)</f>
        <v>0</v>
      </c>
      <c r="G43" s="4" t="s">
        <v>56</v>
      </c>
      <c r="H43" s="4" t="s">
        <v>57</v>
      </c>
      <c r="I43" s="4"/>
      <c r="J43" s="4"/>
      <c r="K43" s="4">
        <v>223</v>
      </c>
      <c r="L43" s="4">
        <v>9</v>
      </c>
      <c r="M43" s="4">
        <v>3</v>
      </c>
      <c r="N43" s="4" t="s">
        <v>3</v>
      </c>
      <c r="O43" s="4">
        <v>2</v>
      </c>
      <c r="P43" s="4"/>
    </row>
    <row r="44" spans="1:16" ht="12.75">
      <c r="A44" s="4">
        <v>50</v>
      </c>
      <c r="B44" s="4">
        <v>0</v>
      </c>
      <c r="C44" s="4">
        <v>0</v>
      </c>
      <c r="D44" s="4">
        <v>1</v>
      </c>
      <c r="E44" s="4">
        <v>229</v>
      </c>
      <c r="F44" s="4">
        <f>ROUND(Source!AZ33,O44)</f>
        <v>0</v>
      </c>
      <c r="G44" s="4" t="s">
        <v>58</v>
      </c>
      <c r="H44" s="4" t="s">
        <v>59</v>
      </c>
      <c r="I44" s="4"/>
      <c r="J44" s="4"/>
      <c r="K44" s="4">
        <v>229</v>
      </c>
      <c r="L44" s="4">
        <v>10</v>
      </c>
      <c r="M44" s="4">
        <v>3</v>
      </c>
      <c r="N44" s="4" t="s">
        <v>3</v>
      </c>
      <c r="O44" s="4">
        <v>2</v>
      </c>
      <c r="P44" s="4"/>
    </row>
    <row r="45" spans="1:16" ht="12.75">
      <c r="A45" s="4">
        <v>50</v>
      </c>
      <c r="B45" s="4">
        <v>0</v>
      </c>
      <c r="C45" s="4">
        <v>0</v>
      </c>
      <c r="D45" s="4">
        <v>1</v>
      </c>
      <c r="E45" s="4">
        <v>203</v>
      </c>
      <c r="F45" s="4">
        <f>ROUND(Source!Q33,O45)</f>
        <v>43.82</v>
      </c>
      <c r="G45" s="4" t="s">
        <v>60</v>
      </c>
      <c r="H45" s="4" t="s">
        <v>61</v>
      </c>
      <c r="I45" s="4"/>
      <c r="J45" s="4"/>
      <c r="K45" s="4">
        <v>203</v>
      </c>
      <c r="L45" s="4">
        <v>11</v>
      </c>
      <c r="M45" s="4">
        <v>3</v>
      </c>
      <c r="N45" s="4" t="s">
        <v>3</v>
      </c>
      <c r="O45" s="4">
        <v>2</v>
      </c>
      <c r="P45" s="4"/>
    </row>
    <row r="46" spans="1:16" ht="12.75">
      <c r="A46" s="4">
        <v>50</v>
      </c>
      <c r="B46" s="4">
        <v>0</v>
      </c>
      <c r="C46" s="4">
        <v>0</v>
      </c>
      <c r="D46" s="4">
        <v>1</v>
      </c>
      <c r="E46" s="4">
        <v>204</v>
      </c>
      <c r="F46" s="4">
        <f>ROUND(Source!R33,O46)</f>
        <v>13.49</v>
      </c>
      <c r="G46" s="4" t="s">
        <v>62</v>
      </c>
      <c r="H46" s="4" t="s">
        <v>63</v>
      </c>
      <c r="I46" s="4"/>
      <c r="J46" s="4"/>
      <c r="K46" s="4">
        <v>204</v>
      </c>
      <c r="L46" s="4">
        <v>12</v>
      </c>
      <c r="M46" s="4">
        <v>3</v>
      </c>
      <c r="N46" s="4" t="s">
        <v>3</v>
      </c>
      <c r="O46" s="4">
        <v>2</v>
      </c>
      <c r="P46" s="4"/>
    </row>
    <row r="47" spans="1:16" ht="12.75">
      <c r="A47" s="4">
        <v>50</v>
      </c>
      <c r="B47" s="4">
        <v>0</v>
      </c>
      <c r="C47" s="4">
        <v>0</v>
      </c>
      <c r="D47" s="4">
        <v>1</v>
      </c>
      <c r="E47" s="4">
        <v>205</v>
      </c>
      <c r="F47" s="4">
        <f>ROUND(Source!S33,O47)</f>
        <v>17738.62</v>
      </c>
      <c r="G47" s="4" t="s">
        <v>64</v>
      </c>
      <c r="H47" s="4" t="s">
        <v>65</v>
      </c>
      <c r="I47" s="4"/>
      <c r="J47" s="4"/>
      <c r="K47" s="4">
        <v>205</v>
      </c>
      <c r="L47" s="4">
        <v>13</v>
      </c>
      <c r="M47" s="4">
        <v>3</v>
      </c>
      <c r="N47" s="4" t="s">
        <v>3</v>
      </c>
      <c r="O47" s="4">
        <v>2</v>
      </c>
      <c r="P47" s="4"/>
    </row>
    <row r="48" spans="1:16" ht="12.75">
      <c r="A48" s="4">
        <v>50</v>
      </c>
      <c r="B48" s="4">
        <v>0</v>
      </c>
      <c r="C48" s="4">
        <v>0</v>
      </c>
      <c r="D48" s="4">
        <v>1</v>
      </c>
      <c r="E48" s="4">
        <v>214</v>
      </c>
      <c r="F48" s="4">
        <f>ROUND(Source!AS33,O48)</f>
        <v>39625.22</v>
      </c>
      <c r="G48" s="4" t="s">
        <v>66</v>
      </c>
      <c r="H48" s="4" t="s">
        <v>67</v>
      </c>
      <c r="I48" s="4"/>
      <c r="J48" s="4"/>
      <c r="K48" s="4">
        <v>214</v>
      </c>
      <c r="L48" s="4">
        <v>14</v>
      </c>
      <c r="M48" s="4">
        <v>3</v>
      </c>
      <c r="N48" s="4" t="s">
        <v>3</v>
      </c>
      <c r="O48" s="4">
        <v>2</v>
      </c>
      <c r="P48" s="4"/>
    </row>
    <row r="49" spans="1:16" ht="12.75">
      <c r="A49" s="4">
        <v>50</v>
      </c>
      <c r="B49" s="4">
        <v>0</v>
      </c>
      <c r="C49" s="4">
        <v>0</v>
      </c>
      <c r="D49" s="4">
        <v>1</v>
      </c>
      <c r="E49" s="4">
        <v>215</v>
      </c>
      <c r="F49" s="4">
        <f>ROUND(Source!AT33,O49)</f>
        <v>0</v>
      </c>
      <c r="G49" s="4" t="s">
        <v>68</v>
      </c>
      <c r="H49" s="4" t="s">
        <v>69</v>
      </c>
      <c r="I49" s="4"/>
      <c r="J49" s="4"/>
      <c r="K49" s="4">
        <v>215</v>
      </c>
      <c r="L49" s="4">
        <v>15</v>
      </c>
      <c r="M49" s="4">
        <v>3</v>
      </c>
      <c r="N49" s="4" t="s">
        <v>3</v>
      </c>
      <c r="O49" s="4">
        <v>2</v>
      </c>
      <c r="P49" s="4"/>
    </row>
    <row r="50" spans="1:16" ht="12.75">
      <c r="A50" s="4">
        <v>50</v>
      </c>
      <c r="B50" s="4">
        <v>0</v>
      </c>
      <c r="C50" s="4">
        <v>0</v>
      </c>
      <c r="D50" s="4">
        <v>1</v>
      </c>
      <c r="E50" s="4">
        <v>217</v>
      </c>
      <c r="F50" s="4">
        <f>ROUND(Source!AU33,O50)</f>
        <v>0</v>
      </c>
      <c r="G50" s="4" t="s">
        <v>70</v>
      </c>
      <c r="H50" s="4" t="s">
        <v>71</v>
      </c>
      <c r="I50" s="4"/>
      <c r="J50" s="4"/>
      <c r="K50" s="4">
        <v>217</v>
      </c>
      <c r="L50" s="4">
        <v>16</v>
      </c>
      <c r="M50" s="4">
        <v>3</v>
      </c>
      <c r="N50" s="4" t="s">
        <v>3</v>
      </c>
      <c r="O50" s="4">
        <v>2</v>
      </c>
      <c r="P50" s="4"/>
    </row>
    <row r="51" spans="1:16" ht="12.75">
      <c r="A51" s="4">
        <v>50</v>
      </c>
      <c r="B51" s="4">
        <v>0</v>
      </c>
      <c r="C51" s="4">
        <v>0</v>
      </c>
      <c r="D51" s="4">
        <v>1</v>
      </c>
      <c r="E51" s="4">
        <v>206</v>
      </c>
      <c r="F51" s="4">
        <f>ROUND(Source!T33,O51)</f>
        <v>0</v>
      </c>
      <c r="G51" s="4" t="s">
        <v>72</v>
      </c>
      <c r="H51" s="4" t="s">
        <v>73</v>
      </c>
      <c r="I51" s="4"/>
      <c r="J51" s="4"/>
      <c r="K51" s="4">
        <v>206</v>
      </c>
      <c r="L51" s="4">
        <v>17</v>
      </c>
      <c r="M51" s="4">
        <v>3</v>
      </c>
      <c r="N51" s="4" t="s">
        <v>3</v>
      </c>
      <c r="O51" s="4">
        <v>2</v>
      </c>
      <c r="P51" s="4"/>
    </row>
    <row r="52" spans="1:16" ht="12.75">
      <c r="A52" s="4">
        <v>50</v>
      </c>
      <c r="B52" s="4">
        <v>0</v>
      </c>
      <c r="C52" s="4">
        <v>0</v>
      </c>
      <c r="D52" s="4">
        <v>1</v>
      </c>
      <c r="E52" s="4">
        <v>207</v>
      </c>
      <c r="F52" s="4">
        <f>Source!U33</f>
        <v>81.99262829999999</v>
      </c>
      <c r="G52" s="4" t="s">
        <v>74</v>
      </c>
      <c r="H52" s="4" t="s">
        <v>75</v>
      </c>
      <c r="I52" s="4"/>
      <c r="J52" s="4"/>
      <c r="K52" s="4">
        <v>207</v>
      </c>
      <c r="L52" s="4">
        <v>18</v>
      </c>
      <c r="M52" s="4">
        <v>3</v>
      </c>
      <c r="N52" s="4" t="s">
        <v>3</v>
      </c>
      <c r="O52" s="4">
        <v>-1</v>
      </c>
      <c r="P52" s="4"/>
    </row>
    <row r="53" spans="1:16" ht="12.75">
      <c r="A53" s="4">
        <v>50</v>
      </c>
      <c r="B53" s="4">
        <v>0</v>
      </c>
      <c r="C53" s="4">
        <v>0</v>
      </c>
      <c r="D53" s="4">
        <v>1</v>
      </c>
      <c r="E53" s="4">
        <v>208</v>
      </c>
      <c r="F53" s="4">
        <f>Source!V33</f>
        <v>0</v>
      </c>
      <c r="G53" s="4" t="s">
        <v>76</v>
      </c>
      <c r="H53" s="4" t="s">
        <v>77</v>
      </c>
      <c r="I53" s="4"/>
      <c r="J53" s="4"/>
      <c r="K53" s="4">
        <v>208</v>
      </c>
      <c r="L53" s="4">
        <v>19</v>
      </c>
      <c r="M53" s="4">
        <v>3</v>
      </c>
      <c r="N53" s="4" t="s">
        <v>3</v>
      </c>
      <c r="O53" s="4">
        <v>-1</v>
      </c>
      <c r="P53" s="4"/>
    </row>
    <row r="54" spans="1:16" ht="12.75">
      <c r="A54" s="4">
        <v>50</v>
      </c>
      <c r="B54" s="4">
        <v>0</v>
      </c>
      <c r="C54" s="4">
        <v>0</v>
      </c>
      <c r="D54" s="4">
        <v>1</v>
      </c>
      <c r="E54" s="4">
        <v>209</v>
      </c>
      <c r="F54" s="4">
        <f>ROUND(Source!W33,O54)</f>
        <v>0</v>
      </c>
      <c r="G54" s="4" t="s">
        <v>78</v>
      </c>
      <c r="H54" s="4" t="s">
        <v>79</v>
      </c>
      <c r="I54" s="4"/>
      <c r="J54" s="4"/>
      <c r="K54" s="4">
        <v>209</v>
      </c>
      <c r="L54" s="4">
        <v>20</v>
      </c>
      <c r="M54" s="4">
        <v>3</v>
      </c>
      <c r="N54" s="4" t="s">
        <v>3</v>
      </c>
      <c r="O54" s="4">
        <v>2</v>
      </c>
      <c r="P54" s="4"/>
    </row>
    <row r="55" spans="1:16" ht="12.75">
      <c r="A55" s="4">
        <v>50</v>
      </c>
      <c r="B55" s="4">
        <v>0</v>
      </c>
      <c r="C55" s="4">
        <v>0</v>
      </c>
      <c r="D55" s="4">
        <v>1</v>
      </c>
      <c r="E55" s="4">
        <v>210</v>
      </c>
      <c r="F55" s="4">
        <f>ROUND(Source!X33,O55)</f>
        <v>13876.25</v>
      </c>
      <c r="G55" s="4" t="s">
        <v>80</v>
      </c>
      <c r="H55" s="4" t="s">
        <v>81</v>
      </c>
      <c r="I55" s="4"/>
      <c r="J55" s="4"/>
      <c r="K55" s="4">
        <v>210</v>
      </c>
      <c r="L55" s="4">
        <v>21</v>
      </c>
      <c r="M55" s="4">
        <v>3</v>
      </c>
      <c r="N55" s="4" t="s">
        <v>3</v>
      </c>
      <c r="O55" s="4">
        <v>2</v>
      </c>
      <c r="P55" s="4"/>
    </row>
    <row r="56" spans="1:16" ht="12.75">
      <c r="A56" s="4">
        <v>50</v>
      </c>
      <c r="B56" s="4">
        <v>0</v>
      </c>
      <c r="C56" s="4">
        <v>0</v>
      </c>
      <c r="D56" s="4">
        <v>1</v>
      </c>
      <c r="E56" s="4">
        <v>211</v>
      </c>
      <c r="F56" s="4">
        <f>ROUND(Source!Y33,O56)</f>
        <v>7804.99</v>
      </c>
      <c r="G56" s="4" t="s">
        <v>82</v>
      </c>
      <c r="H56" s="4" t="s">
        <v>83</v>
      </c>
      <c r="I56" s="4"/>
      <c r="J56" s="4"/>
      <c r="K56" s="4">
        <v>211</v>
      </c>
      <c r="L56" s="4">
        <v>22</v>
      </c>
      <c r="M56" s="4">
        <v>3</v>
      </c>
      <c r="N56" s="4" t="s">
        <v>3</v>
      </c>
      <c r="O56" s="4">
        <v>2</v>
      </c>
      <c r="P56" s="4"/>
    </row>
    <row r="57" spans="1:16" ht="12.75">
      <c r="A57" s="4">
        <v>50</v>
      </c>
      <c r="B57" s="4">
        <v>0</v>
      </c>
      <c r="C57" s="4">
        <v>0</v>
      </c>
      <c r="D57" s="4">
        <v>1</v>
      </c>
      <c r="E57" s="4">
        <v>224</v>
      </c>
      <c r="F57" s="4">
        <f>ROUND(Source!AR33,O57)</f>
        <v>39625.22</v>
      </c>
      <c r="G57" s="4" t="s">
        <v>84</v>
      </c>
      <c r="H57" s="4" t="s">
        <v>85</v>
      </c>
      <c r="I57" s="4"/>
      <c r="J57" s="4"/>
      <c r="K57" s="4">
        <v>224</v>
      </c>
      <c r="L57" s="4">
        <v>23</v>
      </c>
      <c r="M57" s="4">
        <v>3</v>
      </c>
      <c r="N57" s="4" t="s">
        <v>3</v>
      </c>
      <c r="O57" s="4">
        <v>2</v>
      </c>
      <c r="P57" s="4"/>
    </row>
    <row r="59" spans="1:88" ht="12.75">
      <c r="A59" s="1">
        <v>4</v>
      </c>
      <c r="B59" s="1">
        <v>1</v>
      </c>
      <c r="C59" s="1"/>
      <c r="D59" s="1">
        <f>ROW(A68)</f>
        <v>68</v>
      </c>
      <c r="E59" s="1"/>
      <c r="F59" s="1" t="s">
        <v>14</v>
      </c>
      <c r="G59" s="1" t="s">
        <v>86</v>
      </c>
      <c r="H59" s="1" t="s">
        <v>3</v>
      </c>
      <c r="I59" s="1">
        <v>0</v>
      </c>
      <c r="J59" s="1"/>
      <c r="K59" s="1">
        <v>0</v>
      </c>
      <c r="L59" s="1"/>
      <c r="M59" s="1"/>
      <c r="N59" s="1"/>
      <c r="O59" s="1"/>
      <c r="P59" s="1"/>
      <c r="Q59" s="1"/>
      <c r="R59" s="1"/>
      <c r="S59" s="1"/>
      <c r="T59" s="1"/>
      <c r="U59" s="1" t="s">
        <v>3</v>
      </c>
      <c r="V59" s="1">
        <v>0</v>
      </c>
      <c r="W59" s="1"/>
      <c r="X59" s="1"/>
      <c r="Y59" s="1"/>
      <c r="Z59" s="1"/>
      <c r="AA59" s="1"/>
      <c r="AB59" s="1" t="s">
        <v>3</v>
      </c>
      <c r="AC59" s="1" t="s">
        <v>3</v>
      </c>
      <c r="AD59" s="1" t="s">
        <v>3</v>
      </c>
      <c r="AE59" s="1" t="s">
        <v>3</v>
      </c>
      <c r="AF59" s="1" t="s">
        <v>3</v>
      </c>
      <c r="AG59" s="1" t="s">
        <v>3</v>
      </c>
      <c r="AH59" s="1"/>
      <c r="AI59" s="1"/>
      <c r="AJ59" s="1"/>
      <c r="AK59" s="1"/>
      <c r="AL59" s="1"/>
      <c r="AM59" s="1"/>
      <c r="AN59" s="1"/>
      <c r="AO59" s="1"/>
      <c r="AP59" s="1" t="s">
        <v>3</v>
      </c>
      <c r="AQ59" s="1" t="s">
        <v>3</v>
      </c>
      <c r="AR59" s="1" t="s">
        <v>3</v>
      </c>
      <c r="AS59" s="1"/>
      <c r="AT59" s="1"/>
      <c r="AU59" s="1"/>
      <c r="AV59" s="1"/>
      <c r="AW59" s="1"/>
      <c r="AX59" s="1"/>
      <c r="AY59" s="1"/>
      <c r="AZ59" s="1" t="s">
        <v>3</v>
      </c>
      <c r="BA59" s="1"/>
      <c r="BB59" s="1" t="s">
        <v>3</v>
      </c>
      <c r="BC59" s="1" t="s">
        <v>3</v>
      </c>
      <c r="BD59" s="1" t="s">
        <v>3</v>
      </c>
      <c r="BE59" s="1" t="s">
        <v>3</v>
      </c>
      <c r="BF59" s="1" t="s">
        <v>3</v>
      </c>
      <c r="BG59" s="1" t="s">
        <v>3</v>
      </c>
      <c r="BH59" s="1" t="s">
        <v>3</v>
      </c>
      <c r="BI59" s="1" t="s">
        <v>3</v>
      </c>
      <c r="BJ59" s="1" t="s">
        <v>3</v>
      </c>
      <c r="BK59" s="1" t="s">
        <v>3</v>
      </c>
      <c r="BL59" s="1" t="s">
        <v>3</v>
      </c>
      <c r="BM59" s="1" t="s">
        <v>3</v>
      </c>
      <c r="BN59" s="1" t="s">
        <v>3</v>
      </c>
      <c r="BO59" s="1" t="s">
        <v>3</v>
      </c>
      <c r="BP59" s="1" t="s">
        <v>3</v>
      </c>
      <c r="BQ59" s="1"/>
      <c r="BR59" s="1"/>
      <c r="BS59" s="1"/>
      <c r="BT59" s="1"/>
      <c r="BU59" s="1"/>
      <c r="BV59" s="1"/>
      <c r="BW59" s="1"/>
      <c r="BX59" s="1">
        <v>0</v>
      </c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>
        <v>0</v>
      </c>
    </row>
    <row r="61" spans="1:118" ht="12.75">
      <c r="A61" s="2">
        <v>52</v>
      </c>
      <c r="B61" s="2">
        <f aca="true" t="shared" si="21" ref="B61:G61">B68</f>
        <v>1</v>
      </c>
      <c r="C61" s="2">
        <f t="shared" si="21"/>
        <v>4</v>
      </c>
      <c r="D61" s="2">
        <f t="shared" si="21"/>
        <v>59</v>
      </c>
      <c r="E61" s="2">
        <f t="shared" si="21"/>
        <v>0</v>
      </c>
      <c r="F61" s="2" t="str">
        <f t="shared" si="21"/>
        <v>Новый раздел</v>
      </c>
      <c r="G61" s="2" t="str">
        <f t="shared" si="21"/>
        <v>Колымажный 2/Волхонка 10</v>
      </c>
      <c r="H61" s="2"/>
      <c r="I61" s="2"/>
      <c r="J61" s="2"/>
      <c r="K61" s="2"/>
      <c r="L61" s="2"/>
      <c r="M61" s="2"/>
      <c r="N61" s="2"/>
      <c r="O61" s="2">
        <f aca="true" t="shared" si="22" ref="O61:AT61">O68</f>
        <v>27036.27</v>
      </c>
      <c r="P61" s="2">
        <f t="shared" si="22"/>
        <v>218.56</v>
      </c>
      <c r="Q61" s="2">
        <f t="shared" si="22"/>
        <v>69.03</v>
      </c>
      <c r="R61" s="2">
        <f t="shared" si="22"/>
        <v>21.25</v>
      </c>
      <c r="S61" s="2">
        <f t="shared" si="22"/>
        <v>26748.68</v>
      </c>
      <c r="T61" s="2">
        <f t="shared" si="22"/>
        <v>0</v>
      </c>
      <c r="U61" s="2">
        <f t="shared" si="22"/>
        <v>124.2205496</v>
      </c>
      <c r="V61" s="2">
        <f t="shared" si="22"/>
        <v>0</v>
      </c>
      <c r="W61" s="2">
        <f t="shared" si="22"/>
        <v>0</v>
      </c>
      <c r="X61" s="2">
        <f t="shared" si="22"/>
        <v>20951.09</v>
      </c>
      <c r="Y61" s="2">
        <f t="shared" si="22"/>
        <v>11769.42</v>
      </c>
      <c r="Z61" s="2">
        <f t="shared" si="22"/>
        <v>0</v>
      </c>
      <c r="AA61" s="2">
        <f t="shared" si="22"/>
        <v>0</v>
      </c>
      <c r="AB61" s="2">
        <f t="shared" si="22"/>
        <v>27036.27</v>
      </c>
      <c r="AC61" s="2">
        <f t="shared" si="22"/>
        <v>218.56</v>
      </c>
      <c r="AD61" s="2">
        <f t="shared" si="22"/>
        <v>69.03</v>
      </c>
      <c r="AE61" s="2">
        <f t="shared" si="22"/>
        <v>21.25</v>
      </c>
      <c r="AF61" s="2">
        <f t="shared" si="22"/>
        <v>26748.68</v>
      </c>
      <c r="AG61" s="2">
        <f t="shared" si="22"/>
        <v>0</v>
      </c>
      <c r="AH61" s="2">
        <f t="shared" si="22"/>
        <v>124.2205496</v>
      </c>
      <c r="AI61" s="2">
        <f t="shared" si="22"/>
        <v>0</v>
      </c>
      <c r="AJ61" s="2">
        <f t="shared" si="22"/>
        <v>0</v>
      </c>
      <c r="AK61" s="2">
        <f t="shared" si="22"/>
        <v>20951.09</v>
      </c>
      <c r="AL61" s="2">
        <f t="shared" si="22"/>
        <v>11769.42</v>
      </c>
      <c r="AM61" s="2">
        <f t="shared" si="22"/>
        <v>0</v>
      </c>
      <c r="AN61" s="2">
        <f t="shared" si="22"/>
        <v>0</v>
      </c>
      <c r="AO61" s="2">
        <f t="shared" si="22"/>
        <v>0</v>
      </c>
      <c r="AP61" s="2">
        <f t="shared" si="22"/>
        <v>0</v>
      </c>
      <c r="AQ61" s="2">
        <f t="shared" si="22"/>
        <v>0</v>
      </c>
      <c r="AR61" s="2">
        <f t="shared" si="22"/>
        <v>59792.69</v>
      </c>
      <c r="AS61" s="2">
        <f t="shared" si="22"/>
        <v>59792.69</v>
      </c>
      <c r="AT61" s="2">
        <f t="shared" si="22"/>
        <v>0</v>
      </c>
      <c r="AU61" s="2">
        <f aca="true" t="shared" si="23" ref="AU61:BZ61">AU68</f>
        <v>0</v>
      </c>
      <c r="AV61" s="2">
        <f t="shared" si="23"/>
        <v>218.56</v>
      </c>
      <c r="AW61" s="2">
        <f t="shared" si="23"/>
        <v>218.56</v>
      </c>
      <c r="AX61" s="2">
        <f t="shared" si="23"/>
        <v>0</v>
      </c>
      <c r="AY61" s="2">
        <f t="shared" si="23"/>
        <v>218.56</v>
      </c>
      <c r="AZ61" s="2">
        <f t="shared" si="23"/>
        <v>0</v>
      </c>
      <c r="BA61" s="2">
        <f t="shared" si="23"/>
        <v>0</v>
      </c>
      <c r="BB61" s="2">
        <f t="shared" si="23"/>
        <v>0</v>
      </c>
      <c r="BC61" s="2">
        <f t="shared" si="23"/>
        <v>0</v>
      </c>
      <c r="BD61" s="2">
        <f t="shared" si="23"/>
        <v>0</v>
      </c>
      <c r="BE61" s="2">
        <f t="shared" si="23"/>
        <v>59792.69</v>
      </c>
      <c r="BF61" s="2">
        <f t="shared" si="23"/>
        <v>59792.69</v>
      </c>
      <c r="BG61" s="2">
        <f t="shared" si="23"/>
        <v>0</v>
      </c>
      <c r="BH61" s="2">
        <f t="shared" si="23"/>
        <v>0</v>
      </c>
      <c r="BI61" s="2">
        <f t="shared" si="23"/>
        <v>218.56</v>
      </c>
      <c r="BJ61" s="2">
        <f t="shared" si="23"/>
        <v>218.56</v>
      </c>
      <c r="BK61" s="2">
        <f t="shared" si="23"/>
        <v>0</v>
      </c>
      <c r="BL61" s="2">
        <f t="shared" si="23"/>
        <v>218.56</v>
      </c>
      <c r="BM61" s="2">
        <f t="shared" si="23"/>
        <v>0</v>
      </c>
      <c r="BN61" s="2">
        <f t="shared" si="23"/>
        <v>0</v>
      </c>
      <c r="BO61" s="3">
        <f t="shared" si="23"/>
        <v>0</v>
      </c>
      <c r="BP61" s="3">
        <f t="shared" si="23"/>
        <v>0</v>
      </c>
      <c r="BQ61" s="3">
        <f t="shared" si="23"/>
        <v>0</v>
      </c>
      <c r="BR61" s="3">
        <f t="shared" si="23"/>
        <v>0</v>
      </c>
      <c r="BS61" s="3">
        <f t="shared" si="23"/>
        <v>0</v>
      </c>
      <c r="BT61" s="3">
        <f t="shared" si="23"/>
        <v>0</v>
      </c>
      <c r="BU61" s="3">
        <f t="shared" si="23"/>
        <v>0</v>
      </c>
      <c r="BV61" s="3">
        <f t="shared" si="23"/>
        <v>0</v>
      </c>
      <c r="BW61" s="3">
        <f t="shared" si="23"/>
        <v>0</v>
      </c>
      <c r="BX61" s="3">
        <f t="shared" si="23"/>
        <v>0</v>
      </c>
      <c r="BY61" s="3">
        <f t="shared" si="23"/>
        <v>0</v>
      </c>
      <c r="BZ61" s="3">
        <f t="shared" si="23"/>
        <v>0</v>
      </c>
      <c r="CA61" s="3">
        <f aca="true" t="shared" si="24" ref="CA61:DF61">CA68</f>
        <v>0</v>
      </c>
      <c r="CB61" s="3">
        <f t="shared" si="24"/>
        <v>0</v>
      </c>
      <c r="CC61" s="3">
        <f t="shared" si="24"/>
        <v>0</v>
      </c>
      <c r="CD61" s="3">
        <f t="shared" si="24"/>
        <v>0</v>
      </c>
      <c r="CE61" s="3">
        <f t="shared" si="24"/>
        <v>0</v>
      </c>
      <c r="CF61" s="3">
        <f t="shared" si="24"/>
        <v>0</v>
      </c>
      <c r="CG61" s="3">
        <f t="shared" si="24"/>
        <v>0</v>
      </c>
      <c r="CH61" s="3">
        <f t="shared" si="24"/>
        <v>0</v>
      </c>
      <c r="CI61" s="3">
        <f t="shared" si="24"/>
        <v>0</v>
      </c>
      <c r="CJ61" s="3">
        <f t="shared" si="24"/>
        <v>0</v>
      </c>
      <c r="CK61" s="3">
        <f t="shared" si="24"/>
        <v>0</v>
      </c>
      <c r="CL61" s="3">
        <f t="shared" si="24"/>
        <v>0</v>
      </c>
      <c r="CM61" s="3">
        <f t="shared" si="24"/>
        <v>0</v>
      </c>
      <c r="CN61" s="3">
        <f t="shared" si="24"/>
        <v>0</v>
      </c>
      <c r="CO61" s="3">
        <f t="shared" si="24"/>
        <v>0</v>
      </c>
      <c r="CP61" s="3">
        <f t="shared" si="24"/>
        <v>0</v>
      </c>
      <c r="CQ61" s="3">
        <f t="shared" si="24"/>
        <v>0</v>
      </c>
      <c r="CR61" s="3">
        <f t="shared" si="24"/>
        <v>0</v>
      </c>
      <c r="CS61" s="3">
        <f t="shared" si="24"/>
        <v>0</v>
      </c>
      <c r="CT61" s="3">
        <f t="shared" si="24"/>
        <v>0</v>
      </c>
      <c r="CU61" s="3">
        <f t="shared" si="24"/>
        <v>0</v>
      </c>
      <c r="CV61" s="3">
        <f t="shared" si="24"/>
        <v>0</v>
      </c>
      <c r="CW61" s="3">
        <f t="shared" si="24"/>
        <v>0</v>
      </c>
      <c r="CX61" s="3">
        <f t="shared" si="24"/>
        <v>0</v>
      </c>
      <c r="CY61" s="3">
        <f t="shared" si="24"/>
        <v>0</v>
      </c>
      <c r="CZ61" s="3">
        <f t="shared" si="24"/>
        <v>0</v>
      </c>
      <c r="DA61" s="3">
        <f t="shared" si="24"/>
        <v>0</v>
      </c>
      <c r="DB61" s="3">
        <f t="shared" si="24"/>
        <v>0</v>
      </c>
      <c r="DC61" s="3">
        <f t="shared" si="24"/>
        <v>0</v>
      </c>
      <c r="DD61" s="3">
        <f t="shared" si="24"/>
        <v>0</v>
      </c>
      <c r="DE61" s="3">
        <f t="shared" si="24"/>
        <v>0</v>
      </c>
      <c r="DF61" s="3">
        <f t="shared" si="24"/>
        <v>0</v>
      </c>
      <c r="DG61" s="3">
        <f aca="true" t="shared" si="25" ref="DG61:DN61">DG68</f>
        <v>0</v>
      </c>
      <c r="DH61" s="3">
        <f t="shared" si="25"/>
        <v>0</v>
      </c>
      <c r="DI61" s="3">
        <f t="shared" si="25"/>
        <v>0</v>
      </c>
      <c r="DJ61" s="3">
        <f t="shared" si="25"/>
        <v>0</v>
      </c>
      <c r="DK61" s="3">
        <f t="shared" si="25"/>
        <v>0</v>
      </c>
      <c r="DL61" s="3">
        <f t="shared" si="25"/>
        <v>0</v>
      </c>
      <c r="DM61" s="3">
        <f t="shared" si="25"/>
        <v>0</v>
      </c>
      <c r="DN61" s="3">
        <f t="shared" si="25"/>
        <v>0</v>
      </c>
    </row>
    <row r="63" spans="1:200" ht="12.75">
      <c r="A63">
        <v>17</v>
      </c>
      <c r="B63">
        <v>1</v>
      </c>
      <c r="C63">
        <f>ROW(SmtRes!A10)</f>
        <v>10</v>
      </c>
      <c r="D63">
        <f>ROW(EtalonRes!A10)</f>
        <v>10</v>
      </c>
      <c r="E63" t="s">
        <v>87</v>
      </c>
      <c r="F63" t="s">
        <v>17</v>
      </c>
      <c r="G63" t="s">
        <v>18</v>
      </c>
      <c r="H63" t="s">
        <v>19</v>
      </c>
      <c r="I63">
        <v>6.936</v>
      </c>
      <c r="J63">
        <v>0</v>
      </c>
      <c r="O63">
        <f>ROUND(CP63,2)</f>
        <v>9532.47</v>
      </c>
      <c r="P63">
        <f>ROUND(CQ63*I63,2)</f>
        <v>218.56</v>
      </c>
      <c r="Q63">
        <f>ROUND(CR63*I63,2)</f>
        <v>1537.73</v>
      </c>
      <c r="R63">
        <f>ROUND(CS63*I63,2)</f>
        <v>473.41</v>
      </c>
      <c r="S63">
        <f>ROUND(CT63*I63,2)</f>
        <v>7776.18</v>
      </c>
      <c r="T63">
        <f>ROUND(CU63*I63,2)</f>
        <v>0</v>
      </c>
      <c r="U63">
        <f>CV63*I63</f>
        <v>45.75054959999999</v>
      </c>
      <c r="V63">
        <f>CW63*I63</f>
        <v>0</v>
      </c>
      <c r="W63">
        <f>ROUND(CX63*I63,2)</f>
        <v>0</v>
      </c>
      <c r="X63">
        <f aca="true" t="shared" si="26" ref="X63:Y66">ROUND(CY63,2)</f>
        <v>6531.99</v>
      </c>
      <c r="Y63">
        <f t="shared" si="26"/>
        <v>3421.52</v>
      </c>
      <c r="AA63">
        <v>24625873</v>
      </c>
      <c r="AB63">
        <f>ROUND((AC63+AD63+AF63),6)</f>
        <v>118.34</v>
      </c>
      <c r="AC63">
        <f aca="true" t="shared" si="27" ref="AC63:AF66">ROUND((ES63),6)</f>
        <v>10.2</v>
      </c>
      <c r="AD63">
        <f t="shared" si="27"/>
        <v>43.75</v>
      </c>
      <c r="AE63">
        <f t="shared" si="27"/>
        <v>3.92</v>
      </c>
      <c r="AF63">
        <f t="shared" si="27"/>
        <v>64.39</v>
      </c>
      <c r="AG63">
        <f>ROUND((AP63),6)</f>
        <v>0</v>
      </c>
      <c r="AH63">
        <f aca="true" t="shared" si="28" ref="AH63:AI66">(EW63)</f>
        <v>6.3</v>
      </c>
      <c r="AI63">
        <f t="shared" si="28"/>
        <v>0</v>
      </c>
      <c r="AJ63">
        <f>ROUND((AS63),6)</f>
        <v>0</v>
      </c>
      <c r="AK63">
        <v>118.34</v>
      </c>
      <c r="AL63">
        <v>10.2</v>
      </c>
      <c r="AM63">
        <v>43.75</v>
      </c>
      <c r="AN63">
        <v>3.92</v>
      </c>
      <c r="AO63">
        <v>64.39</v>
      </c>
      <c r="AP63">
        <v>0</v>
      </c>
      <c r="AQ63">
        <v>6.3</v>
      </c>
      <c r="AR63">
        <v>0</v>
      </c>
      <c r="AS63">
        <v>0</v>
      </c>
      <c r="AT63">
        <v>84</v>
      </c>
      <c r="AU63">
        <v>44</v>
      </c>
      <c r="AV63">
        <v>1.047</v>
      </c>
      <c r="AW63">
        <v>1.003</v>
      </c>
      <c r="AZ63">
        <v>1</v>
      </c>
      <c r="BA63">
        <v>16.63</v>
      </c>
      <c r="BB63">
        <v>4.84</v>
      </c>
      <c r="BC63">
        <v>3.08</v>
      </c>
      <c r="BH63">
        <v>0</v>
      </c>
      <c r="BI63">
        <v>1</v>
      </c>
      <c r="BJ63" t="s">
        <v>20</v>
      </c>
      <c r="BM63">
        <v>473</v>
      </c>
      <c r="BN63">
        <v>0</v>
      </c>
      <c r="BO63" t="s">
        <v>17</v>
      </c>
      <c r="BP63">
        <v>1</v>
      </c>
      <c r="BQ63">
        <v>60</v>
      </c>
      <c r="BR63">
        <v>0</v>
      </c>
      <c r="BS63">
        <v>16.63</v>
      </c>
      <c r="BT63">
        <v>1</v>
      </c>
      <c r="BU63">
        <v>1</v>
      </c>
      <c r="BV63">
        <v>1</v>
      </c>
      <c r="BW63">
        <v>1</v>
      </c>
      <c r="BX63">
        <v>1</v>
      </c>
      <c r="BZ63">
        <v>84</v>
      </c>
      <c r="CA63">
        <v>44</v>
      </c>
      <c r="CF63">
        <v>0</v>
      </c>
      <c r="CG63">
        <v>0</v>
      </c>
      <c r="CM63">
        <v>0</v>
      </c>
      <c r="CO63">
        <v>0</v>
      </c>
      <c r="CP63">
        <f>(P63+Q63+S63)</f>
        <v>9532.470000000001</v>
      </c>
      <c r="CQ63">
        <f>(AC63*BC63*AW63)</f>
        <v>31.510247999999994</v>
      </c>
      <c r="CR63">
        <f>(AD63*BB63*AV63)</f>
        <v>221.70225</v>
      </c>
      <c r="CS63">
        <f>(AE63*BS63*AV63)</f>
        <v>68.25351119999999</v>
      </c>
      <c r="CT63">
        <f>(AF63*BA63*AV63)</f>
        <v>1121.1335679</v>
      </c>
      <c r="CU63">
        <f>AG63</f>
        <v>0</v>
      </c>
      <c r="CV63">
        <f>(AH63*AV63)</f>
        <v>6.596099999999999</v>
      </c>
      <c r="CW63">
        <f aca="true" t="shared" si="29" ref="CW63:CX66">AI63</f>
        <v>0</v>
      </c>
      <c r="CX63">
        <f t="shared" si="29"/>
        <v>0</v>
      </c>
      <c r="CY63">
        <f>S63*(BZ63/100)</f>
        <v>6531.9912</v>
      </c>
      <c r="CZ63">
        <f>S63*(CA63/100)</f>
        <v>3421.5192</v>
      </c>
      <c r="DN63">
        <v>100</v>
      </c>
      <c r="DO63">
        <v>64</v>
      </c>
      <c r="DP63">
        <v>1.047</v>
      </c>
      <c r="DQ63">
        <v>1.003</v>
      </c>
      <c r="DU63">
        <v>1005</v>
      </c>
      <c r="DV63" t="s">
        <v>19</v>
      </c>
      <c r="DW63" t="s">
        <v>19</v>
      </c>
      <c r="DX63">
        <v>100</v>
      </c>
      <c r="EE63">
        <v>28574798</v>
      </c>
      <c r="EF63">
        <v>60</v>
      </c>
      <c r="EG63" t="s">
        <v>21</v>
      </c>
      <c r="EH63">
        <v>0</v>
      </c>
      <c r="EJ63">
        <v>1</v>
      </c>
      <c r="EK63">
        <v>473</v>
      </c>
      <c r="EL63" t="s">
        <v>22</v>
      </c>
      <c r="EM63" t="s">
        <v>23</v>
      </c>
      <c r="EQ63">
        <v>0</v>
      </c>
      <c r="ER63">
        <v>118.34</v>
      </c>
      <c r="ES63">
        <v>10.2</v>
      </c>
      <c r="ET63">
        <v>43.75</v>
      </c>
      <c r="EU63">
        <v>3.92</v>
      </c>
      <c r="EV63">
        <v>64.39</v>
      </c>
      <c r="EW63">
        <v>6.3</v>
      </c>
      <c r="EX63">
        <v>0</v>
      </c>
      <c r="EY63">
        <v>0</v>
      </c>
      <c r="FQ63">
        <v>0</v>
      </c>
      <c r="FR63">
        <f>ROUND(IF(AND(BH63=3,BI63=3),P63,0),2)</f>
        <v>0</v>
      </c>
      <c r="FS63">
        <v>0</v>
      </c>
      <c r="FX63">
        <v>84</v>
      </c>
      <c r="FY63">
        <v>44</v>
      </c>
      <c r="GF63">
        <v>-1754515413</v>
      </c>
      <c r="GG63">
        <v>2</v>
      </c>
      <c r="GH63">
        <v>1</v>
      </c>
      <c r="GI63">
        <v>2</v>
      </c>
      <c r="GJ63">
        <v>0</v>
      </c>
      <c r="GK63">
        <f>ROUND(R63*(R12)/100,2)</f>
        <v>800.06</v>
      </c>
      <c r="GL63">
        <f>ROUND(IF(AND(BH63=3,BI63=3,FS63&lt;&gt;0),P63,0),2)</f>
        <v>0</v>
      </c>
      <c r="GM63">
        <f>O63+X63+Y63+GK63</f>
        <v>20286.04</v>
      </c>
      <c r="GN63">
        <f>ROUND(IF(OR(BI63=0,BI63=1),O63+X63+Y63+GK63,0),2)</f>
        <v>20286.04</v>
      </c>
      <c r="GO63">
        <f>ROUND(IF(BI63=2,O63+X63+Y63+GK63,0),2)</f>
        <v>0</v>
      </c>
      <c r="GP63">
        <f>ROUND(IF(BI63=4,O63+X63+Y63+GK63,0),2)</f>
        <v>0</v>
      </c>
      <c r="GR63">
        <v>0</v>
      </c>
    </row>
    <row r="64" spans="1:200" ht="12.75">
      <c r="A64">
        <v>17</v>
      </c>
      <c r="B64">
        <v>1</v>
      </c>
      <c r="E64" t="s">
        <v>16</v>
      </c>
      <c r="F64" t="s">
        <v>25</v>
      </c>
      <c r="G64" t="s">
        <v>26</v>
      </c>
      <c r="H64" t="s">
        <v>27</v>
      </c>
      <c r="I64">
        <v>-24.276</v>
      </c>
      <c r="J64">
        <v>0</v>
      </c>
      <c r="O64">
        <f>ROUND(CP64,2)</f>
        <v>-1468.7</v>
      </c>
      <c r="P64">
        <f>ROUND(CQ64*I64,2)</f>
        <v>0</v>
      </c>
      <c r="Q64">
        <f>ROUND(CR64*I64,2)</f>
        <v>-1468.7</v>
      </c>
      <c r="R64">
        <f>ROUND(CS64*I64,2)</f>
        <v>-452.16</v>
      </c>
      <c r="S64">
        <f>ROUND(CT64*I64,2)</f>
        <v>0</v>
      </c>
      <c r="T64">
        <f>ROUND(CU64*I64,2)</f>
        <v>0</v>
      </c>
      <c r="U64">
        <f>CV64*I64</f>
        <v>0</v>
      </c>
      <c r="V64">
        <f>CW64*I64</f>
        <v>0</v>
      </c>
      <c r="W64">
        <f>ROUND(CX64*I64,2)</f>
        <v>0</v>
      </c>
      <c r="X64">
        <f t="shared" si="26"/>
        <v>0</v>
      </c>
      <c r="Y64">
        <f t="shared" si="26"/>
        <v>0</v>
      </c>
      <c r="AA64">
        <v>24625873</v>
      </c>
      <c r="AB64">
        <f>ROUND((AC64+AD64+AF64),6)</f>
        <v>12.5</v>
      </c>
      <c r="AC64">
        <f t="shared" si="27"/>
        <v>0</v>
      </c>
      <c r="AD64">
        <f t="shared" si="27"/>
        <v>12.5</v>
      </c>
      <c r="AE64">
        <f t="shared" si="27"/>
        <v>1.12</v>
      </c>
      <c r="AF64">
        <f t="shared" si="27"/>
        <v>0</v>
      </c>
      <c r="AG64">
        <f>ROUND((AP64),6)</f>
        <v>0</v>
      </c>
      <c r="AH64">
        <f t="shared" si="28"/>
        <v>0</v>
      </c>
      <c r="AI64">
        <f t="shared" si="28"/>
        <v>0</v>
      </c>
      <c r="AJ64">
        <f>ROUND((AS64),6)</f>
        <v>0</v>
      </c>
      <c r="AK64">
        <v>12.5</v>
      </c>
      <c r="AL64">
        <v>0</v>
      </c>
      <c r="AM64">
        <v>12.5</v>
      </c>
      <c r="AN64">
        <v>1.12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1</v>
      </c>
      <c r="AW64">
        <v>1</v>
      </c>
      <c r="AZ64">
        <v>1</v>
      </c>
      <c r="BA64">
        <v>1</v>
      </c>
      <c r="BB64">
        <v>4.84</v>
      </c>
      <c r="BC64">
        <v>1</v>
      </c>
      <c r="BH64">
        <v>2</v>
      </c>
      <c r="BI64">
        <v>1</v>
      </c>
      <c r="BJ64" t="s">
        <v>28</v>
      </c>
      <c r="BM64">
        <v>473</v>
      </c>
      <c r="BN64">
        <v>0</v>
      </c>
      <c r="BO64" t="s">
        <v>25</v>
      </c>
      <c r="BP64">
        <v>1</v>
      </c>
      <c r="BQ64">
        <v>60</v>
      </c>
      <c r="BR64">
        <v>1</v>
      </c>
      <c r="BS64">
        <v>16.63</v>
      </c>
      <c r="BT64">
        <v>1</v>
      </c>
      <c r="BU64">
        <v>1</v>
      </c>
      <c r="BV64">
        <v>1</v>
      </c>
      <c r="BW64">
        <v>1</v>
      </c>
      <c r="BX64">
        <v>1</v>
      </c>
      <c r="BZ64">
        <v>0</v>
      </c>
      <c r="CA64">
        <v>0</v>
      </c>
      <c r="CF64">
        <v>0</v>
      </c>
      <c r="CG64">
        <v>0</v>
      </c>
      <c r="CM64">
        <v>0</v>
      </c>
      <c r="CO64">
        <v>0</v>
      </c>
      <c r="CP64">
        <f>(P64+Q64+S64)</f>
        <v>-1468.7</v>
      </c>
      <c r="CQ64">
        <f>(AC64*BC64*AW64)</f>
        <v>0</v>
      </c>
      <c r="CR64">
        <f>(AD64*BB64*AV64)</f>
        <v>60.5</v>
      </c>
      <c r="CS64">
        <f>(AE64*BS64*AV64)</f>
        <v>18.625600000000002</v>
      </c>
      <c r="CT64">
        <f>(AF64*BA64*AV64)</f>
        <v>0</v>
      </c>
      <c r="CU64">
        <f>AG64</f>
        <v>0</v>
      </c>
      <c r="CV64">
        <f>(AH64*AV64)</f>
        <v>0</v>
      </c>
      <c r="CW64">
        <f t="shared" si="29"/>
        <v>0</v>
      </c>
      <c r="CX64">
        <f t="shared" si="29"/>
        <v>0</v>
      </c>
      <c r="CY64">
        <f>S64*(BZ64/100)</f>
        <v>0</v>
      </c>
      <c r="CZ64">
        <f>S64*(CA64/100)</f>
        <v>0</v>
      </c>
      <c r="DN64">
        <v>100</v>
      </c>
      <c r="DO64">
        <v>64</v>
      </c>
      <c r="DP64">
        <v>1.047</v>
      </c>
      <c r="DQ64">
        <v>1.003</v>
      </c>
      <c r="DU64">
        <v>1011</v>
      </c>
      <c r="DV64" t="s">
        <v>27</v>
      </c>
      <c r="DW64" t="s">
        <v>27</v>
      </c>
      <c r="DX64">
        <v>1</v>
      </c>
      <c r="EE64">
        <v>28574798</v>
      </c>
      <c r="EF64">
        <v>60</v>
      </c>
      <c r="EG64" t="s">
        <v>21</v>
      </c>
      <c r="EH64">
        <v>0</v>
      </c>
      <c r="EJ64">
        <v>1</v>
      </c>
      <c r="EK64">
        <v>473</v>
      </c>
      <c r="EL64" t="s">
        <v>22</v>
      </c>
      <c r="EM64" t="s">
        <v>23</v>
      </c>
      <c r="EQ64">
        <v>32768</v>
      </c>
      <c r="ER64">
        <v>12.5</v>
      </c>
      <c r="ES64">
        <v>0</v>
      </c>
      <c r="ET64">
        <v>12.5</v>
      </c>
      <c r="EU64">
        <v>1.12</v>
      </c>
      <c r="EV64">
        <v>0</v>
      </c>
      <c r="EW64">
        <v>0</v>
      </c>
      <c r="EX64">
        <v>0</v>
      </c>
      <c r="EY64">
        <v>0</v>
      </c>
      <c r="FQ64">
        <v>0</v>
      </c>
      <c r="FR64">
        <f>ROUND(IF(AND(BH64=3,BI64=3),P64,0),2)</f>
        <v>0</v>
      </c>
      <c r="FS64">
        <v>0</v>
      </c>
      <c r="FX64">
        <v>0</v>
      </c>
      <c r="FY64">
        <v>0</v>
      </c>
      <c r="GF64">
        <v>-1370831617</v>
      </c>
      <c r="GG64">
        <v>2</v>
      </c>
      <c r="GH64">
        <v>1</v>
      </c>
      <c r="GI64">
        <v>2</v>
      </c>
      <c r="GJ64">
        <v>0</v>
      </c>
      <c r="GK64">
        <f>ROUND(R64*(R12)/100,2)</f>
        <v>-764.15</v>
      </c>
      <c r="GL64">
        <f>ROUND(IF(AND(BH64=3,BI64=3,FS64&lt;&gt;0),P64,0),2)</f>
        <v>0</v>
      </c>
      <c r="GM64">
        <f>O64+X64+Y64+GK64</f>
        <v>-2232.85</v>
      </c>
      <c r="GN64">
        <f>ROUND(IF(OR(BI64=0,BI64=1),O64+X64+Y64+GK64,0),2)</f>
        <v>-2232.85</v>
      </c>
      <c r="GO64">
        <f>ROUND(IF(BI64=2,O64+X64+Y64+GK64,0),2)</f>
        <v>0</v>
      </c>
      <c r="GP64">
        <f>ROUND(IF(BI64=4,O64+X64+Y64+GK64,0),2)</f>
        <v>0</v>
      </c>
      <c r="GR64">
        <v>0</v>
      </c>
    </row>
    <row r="65" spans="1:200" ht="12.75">
      <c r="A65">
        <v>17</v>
      </c>
      <c r="B65">
        <v>1</v>
      </c>
      <c r="C65">
        <f>ROW(SmtRes!A11)</f>
        <v>11</v>
      </c>
      <c r="D65">
        <f>ROW(EtalonRes!A11)</f>
        <v>11</v>
      </c>
      <c r="E65" t="s">
        <v>24</v>
      </c>
      <c r="F65" t="s">
        <v>30</v>
      </c>
      <c r="G65" t="s">
        <v>31</v>
      </c>
      <c r="H65" t="s">
        <v>32</v>
      </c>
      <c r="I65">
        <v>3</v>
      </c>
      <c r="J65">
        <v>0</v>
      </c>
      <c r="O65">
        <f>ROUND(CP65,2)</f>
        <v>2705.53</v>
      </c>
      <c r="P65">
        <f>ROUND(CQ65*I65,2)</f>
        <v>0</v>
      </c>
      <c r="Q65">
        <f>ROUND(CR65*I65,2)</f>
        <v>0</v>
      </c>
      <c r="R65">
        <f>ROUND(CS65*I65,2)</f>
        <v>0</v>
      </c>
      <c r="S65">
        <f>ROUND(CT65*I65,2)</f>
        <v>2705.53</v>
      </c>
      <c r="T65">
        <f>ROUND(CU65*I65,2)</f>
        <v>0</v>
      </c>
      <c r="U65">
        <f>CV65*I65</f>
        <v>11.19</v>
      </c>
      <c r="V65">
        <f>CW65*I65</f>
        <v>0</v>
      </c>
      <c r="W65">
        <f>ROUND(CX65*I65,2)</f>
        <v>0</v>
      </c>
      <c r="X65">
        <f t="shared" si="26"/>
        <v>2056.2</v>
      </c>
      <c r="Y65">
        <f t="shared" si="26"/>
        <v>1190.43</v>
      </c>
      <c r="AA65">
        <v>24625873</v>
      </c>
      <c r="AB65">
        <f>ROUND((AC65+AD65+AF65),6)</f>
        <v>54.23</v>
      </c>
      <c r="AC65">
        <f t="shared" si="27"/>
        <v>0</v>
      </c>
      <c r="AD65">
        <f t="shared" si="27"/>
        <v>0</v>
      </c>
      <c r="AE65">
        <f t="shared" si="27"/>
        <v>0</v>
      </c>
      <c r="AF65">
        <f t="shared" si="27"/>
        <v>54.23</v>
      </c>
      <c r="AG65">
        <f>ROUND((AP65),6)</f>
        <v>0</v>
      </c>
      <c r="AH65">
        <f t="shared" si="28"/>
        <v>3.73</v>
      </c>
      <c r="AI65">
        <f t="shared" si="28"/>
        <v>0</v>
      </c>
      <c r="AJ65">
        <f>ROUND((AS65),6)</f>
        <v>0</v>
      </c>
      <c r="AK65">
        <v>54.23</v>
      </c>
      <c r="AL65">
        <v>0</v>
      </c>
      <c r="AM65">
        <v>0</v>
      </c>
      <c r="AN65">
        <v>0</v>
      </c>
      <c r="AO65">
        <v>54.23</v>
      </c>
      <c r="AP65">
        <v>0</v>
      </c>
      <c r="AQ65">
        <v>3.73</v>
      </c>
      <c r="AR65">
        <v>0</v>
      </c>
      <c r="AS65">
        <v>0</v>
      </c>
      <c r="AT65">
        <v>76</v>
      </c>
      <c r="AU65">
        <v>44</v>
      </c>
      <c r="AV65">
        <v>1</v>
      </c>
      <c r="AW65">
        <v>1</v>
      </c>
      <c r="AZ65">
        <v>1</v>
      </c>
      <c r="BA65">
        <v>16.63</v>
      </c>
      <c r="BB65">
        <v>1</v>
      </c>
      <c r="BC65">
        <v>1</v>
      </c>
      <c r="BH65">
        <v>0</v>
      </c>
      <c r="BI65">
        <v>1</v>
      </c>
      <c r="BJ65" t="s">
        <v>33</v>
      </c>
      <c r="BM65">
        <v>682</v>
      </c>
      <c r="BN65">
        <v>0</v>
      </c>
      <c r="BO65" t="s">
        <v>30</v>
      </c>
      <c r="BP65">
        <v>1</v>
      </c>
      <c r="BQ65">
        <v>60</v>
      </c>
      <c r="BR65">
        <v>0</v>
      </c>
      <c r="BS65">
        <v>16.63</v>
      </c>
      <c r="BT65">
        <v>1</v>
      </c>
      <c r="BU65">
        <v>1</v>
      </c>
      <c r="BV65">
        <v>1</v>
      </c>
      <c r="BW65">
        <v>1</v>
      </c>
      <c r="BX65">
        <v>1</v>
      </c>
      <c r="BZ65">
        <v>76</v>
      </c>
      <c r="CA65">
        <v>44</v>
      </c>
      <c r="CF65">
        <v>0</v>
      </c>
      <c r="CG65">
        <v>0</v>
      </c>
      <c r="CM65">
        <v>0</v>
      </c>
      <c r="CO65">
        <v>0</v>
      </c>
      <c r="CP65">
        <f>(P65+Q65+S65)</f>
        <v>2705.53</v>
      </c>
      <c r="CQ65">
        <f>(AC65*BC65*AW65)</f>
        <v>0</v>
      </c>
      <c r="CR65">
        <f>(AD65*BB65*AV65)</f>
        <v>0</v>
      </c>
      <c r="CS65">
        <f>(AE65*BS65*AV65)</f>
        <v>0</v>
      </c>
      <c r="CT65">
        <f>(AF65*BA65*AV65)</f>
        <v>901.8448999999999</v>
      </c>
      <c r="CU65">
        <f>AG65</f>
        <v>0</v>
      </c>
      <c r="CV65">
        <f>(AH65*AV65)</f>
        <v>3.73</v>
      </c>
      <c r="CW65">
        <f t="shared" si="29"/>
        <v>0</v>
      </c>
      <c r="CX65">
        <f t="shared" si="29"/>
        <v>0</v>
      </c>
      <c r="CY65">
        <f>S65*(BZ65/100)</f>
        <v>2056.2028</v>
      </c>
      <c r="CZ65">
        <f>S65*(CA65/100)</f>
        <v>1190.4332000000002</v>
      </c>
      <c r="DN65">
        <v>91</v>
      </c>
      <c r="DO65">
        <v>70</v>
      </c>
      <c r="DP65">
        <v>1.047</v>
      </c>
      <c r="DQ65">
        <v>1.002</v>
      </c>
      <c r="DU65">
        <v>1010</v>
      </c>
      <c r="DV65" t="s">
        <v>32</v>
      </c>
      <c r="DW65" t="s">
        <v>32</v>
      </c>
      <c r="DX65">
        <v>1</v>
      </c>
      <c r="EE65">
        <v>28575007</v>
      </c>
      <c r="EF65">
        <v>60</v>
      </c>
      <c r="EG65" t="s">
        <v>21</v>
      </c>
      <c r="EH65">
        <v>0</v>
      </c>
      <c r="EJ65">
        <v>1</v>
      </c>
      <c r="EK65">
        <v>682</v>
      </c>
      <c r="EL65" t="s">
        <v>34</v>
      </c>
      <c r="EM65" t="s">
        <v>35</v>
      </c>
      <c r="EQ65">
        <v>0</v>
      </c>
      <c r="ER65">
        <v>54.23</v>
      </c>
      <c r="ES65">
        <v>0</v>
      </c>
      <c r="ET65">
        <v>0</v>
      </c>
      <c r="EU65">
        <v>0</v>
      </c>
      <c r="EV65">
        <v>54.23</v>
      </c>
      <c r="EW65">
        <v>3.73</v>
      </c>
      <c r="EX65">
        <v>0</v>
      </c>
      <c r="EY65">
        <v>0</v>
      </c>
      <c r="FQ65">
        <v>0</v>
      </c>
      <c r="FR65">
        <f>ROUND(IF(AND(BH65=3,BI65=3),P65,0),2)</f>
        <v>0</v>
      </c>
      <c r="FS65">
        <v>0</v>
      </c>
      <c r="FX65">
        <v>76</v>
      </c>
      <c r="FY65">
        <v>44</v>
      </c>
      <c r="GF65">
        <v>1661821205</v>
      </c>
      <c r="GG65">
        <v>2</v>
      </c>
      <c r="GH65">
        <v>1</v>
      </c>
      <c r="GI65">
        <v>2</v>
      </c>
      <c r="GJ65">
        <v>0</v>
      </c>
      <c r="GK65">
        <f>ROUND(R65*(R12)/100,2)</f>
        <v>0</v>
      </c>
      <c r="GL65">
        <f>ROUND(IF(AND(BH65=3,BI65=3,FS65&lt;&gt;0),P65,0),2)</f>
        <v>0</v>
      </c>
      <c r="GM65">
        <f>O65+X65+Y65+GK65</f>
        <v>5952.16</v>
      </c>
      <c r="GN65">
        <f>ROUND(IF(OR(BI65=0,BI65=1),O65+X65+Y65+GK65,0),2)</f>
        <v>5952.16</v>
      </c>
      <c r="GO65">
        <f>ROUND(IF(BI65=2,O65+X65+Y65+GK65,0),2)</f>
        <v>0</v>
      </c>
      <c r="GP65">
        <f>ROUND(IF(BI65=4,O65+X65+Y65+GK65,0),2)</f>
        <v>0</v>
      </c>
      <c r="GR65">
        <v>0</v>
      </c>
    </row>
    <row r="66" spans="1:200" ht="12.75">
      <c r="A66">
        <v>17</v>
      </c>
      <c r="B66">
        <v>1</v>
      </c>
      <c r="C66">
        <f>ROW(SmtRes!A12)</f>
        <v>12</v>
      </c>
      <c r="D66">
        <f>ROW(EtalonRes!A12)</f>
        <v>12</v>
      </c>
      <c r="E66" t="s">
        <v>88</v>
      </c>
      <c r="F66" t="s">
        <v>37</v>
      </c>
      <c r="G66" t="s">
        <v>38</v>
      </c>
      <c r="H66" t="s">
        <v>32</v>
      </c>
      <c r="I66">
        <v>29</v>
      </c>
      <c r="J66">
        <v>0</v>
      </c>
      <c r="O66">
        <f>ROUND(CP66,2)</f>
        <v>16266.97</v>
      </c>
      <c r="P66">
        <f>ROUND(CQ66*I66,2)</f>
        <v>0</v>
      </c>
      <c r="Q66">
        <f>ROUND(CR66*I66,2)</f>
        <v>0</v>
      </c>
      <c r="R66">
        <f>ROUND(CS66*I66,2)</f>
        <v>0</v>
      </c>
      <c r="S66">
        <f>ROUND(CT66*I66,2)</f>
        <v>16266.97</v>
      </c>
      <c r="T66">
        <f>ROUND(CU66*I66,2)</f>
        <v>0</v>
      </c>
      <c r="U66">
        <f>CV66*I66</f>
        <v>67.28</v>
      </c>
      <c r="V66">
        <f>CW66*I66</f>
        <v>0</v>
      </c>
      <c r="W66">
        <f>ROUND(CX66*I66,2)</f>
        <v>0</v>
      </c>
      <c r="X66">
        <f t="shared" si="26"/>
        <v>12362.9</v>
      </c>
      <c r="Y66">
        <f t="shared" si="26"/>
        <v>7157.47</v>
      </c>
      <c r="AA66">
        <v>24625873</v>
      </c>
      <c r="AB66">
        <f>ROUND((AC66+AD66+AF66),6)</f>
        <v>33.73</v>
      </c>
      <c r="AC66">
        <f t="shared" si="27"/>
        <v>0</v>
      </c>
      <c r="AD66">
        <f t="shared" si="27"/>
        <v>0</v>
      </c>
      <c r="AE66">
        <f t="shared" si="27"/>
        <v>0</v>
      </c>
      <c r="AF66">
        <f t="shared" si="27"/>
        <v>33.73</v>
      </c>
      <c r="AG66">
        <f>ROUND((AP66),6)</f>
        <v>0</v>
      </c>
      <c r="AH66">
        <f t="shared" si="28"/>
        <v>2.32</v>
      </c>
      <c r="AI66">
        <f t="shared" si="28"/>
        <v>0</v>
      </c>
      <c r="AJ66">
        <f>ROUND((AS66),6)</f>
        <v>0</v>
      </c>
      <c r="AK66">
        <v>33.73</v>
      </c>
      <c r="AL66">
        <v>0</v>
      </c>
      <c r="AM66">
        <v>0</v>
      </c>
      <c r="AN66">
        <v>0</v>
      </c>
      <c r="AO66">
        <v>33.73</v>
      </c>
      <c r="AP66">
        <v>0</v>
      </c>
      <c r="AQ66">
        <v>2.32</v>
      </c>
      <c r="AR66">
        <v>0</v>
      </c>
      <c r="AS66">
        <v>0</v>
      </c>
      <c r="AT66">
        <v>76</v>
      </c>
      <c r="AU66">
        <v>44</v>
      </c>
      <c r="AV66">
        <v>1</v>
      </c>
      <c r="AW66">
        <v>1</v>
      </c>
      <c r="AZ66">
        <v>1</v>
      </c>
      <c r="BA66">
        <v>16.63</v>
      </c>
      <c r="BB66">
        <v>1</v>
      </c>
      <c r="BC66">
        <v>1</v>
      </c>
      <c r="BH66">
        <v>0</v>
      </c>
      <c r="BI66">
        <v>1</v>
      </c>
      <c r="BJ66" t="s">
        <v>39</v>
      </c>
      <c r="BM66">
        <v>682</v>
      </c>
      <c r="BN66">
        <v>0</v>
      </c>
      <c r="BO66" t="s">
        <v>37</v>
      </c>
      <c r="BP66">
        <v>1</v>
      </c>
      <c r="BQ66">
        <v>60</v>
      </c>
      <c r="BR66">
        <v>0</v>
      </c>
      <c r="BS66">
        <v>16.63</v>
      </c>
      <c r="BT66">
        <v>1</v>
      </c>
      <c r="BU66">
        <v>1</v>
      </c>
      <c r="BV66">
        <v>1</v>
      </c>
      <c r="BW66">
        <v>1</v>
      </c>
      <c r="BX66">
        <v>1</v>
      </c>
      <c r="BZ66">
        <v>76</v>
      </c>
      <c r="CA66">
        <v>44</v>
      </c>
      <c r="CF66">
        <v>0</v>
      </c>
      <c r="CG66">
        <v>0</v>
      </c>
      <c r="CM66">
        <v>0</v>
      </c>
      <c r="CO66">
        <v>0</v>
      </c>
      <c r="CP66">
        <f>(P66+Q66+S66)</f>
        <v>16266.97</v>
      </c>
      <c r="CQ66">
        <f>(AC66*BC66*AW66)</f>
        <v>0</v>
      </c>
      <c r="CR66">
        <f>(AD66*BB66*AV66)</f>
        <v>0</v>
      </c>
      <c r="CS66">
        <f>(AE66*BS66*AV66)</f>
        <v>0</v>
      </c>
      <c r="CT66">
        <f>(AF66*BA66*AV66)</f>
        <v>560.9298999999999</v>
      </c>
      <c r="CU66">
        <f>AG66</f>
        <v>0</v>
      </c>
      <c r="CV66">
        <f>(AH66*AV66)</f>
        <v>2.32</v>
      </c>
      <c r="CW66">
        <f t="shared" si="29"/>
        <v>0</v>
      </c>
      <c r="CX66">
        <f t="shared" si="29"/>
        <v>0</v>
      </c>
      <c r="CY66">
        <f>S66*(BZ66/100)</f>
        <v>12362.8972</v>
      </c>
      <c r="CZ66">
        <f>S66*(CA66/100)</f>
        <v>7157.4668</v>
      </c>
      <c r="DN66">
        <v>91</v>
      </c>
      <c r="DO66">
        <v>70</v>
      </c>
      <c r="DP66">
        <v>1.047</v>
      </c>
      <c r="DQ66">
        <v>1.002</v>
      </c>
      <c r="DU66">
        <v>1010</v>
      </c>
      <c r="DV66" t="s">
        <v>32</v>
      </c>
      <c r="DW66" t="s">
        <v>32</v>
      </c>
      <c r="DX66">
        <v>1</v>
      </c>
      <c r="EE66">
        <v>28575007</v>
      </c>
      <c r="EF66">
        <v>60</v>
      </c>
      <c r="EG66" t="s">
        <v>21</v>
      </c>
      <c r="EH66">
        <v>0</v>
      </c>
      <c r="EJ66">
        <v>1</v>
      </c>
      <c r="EK66">
        <v>682</v>
      </c>
      <c r="EL66" t="s">
        <v>34</v>
      </c>
      <c r="EM66" t="s">
        <v>35</v>
      </c>
      <c r="EQ66">
        <v>0</v>
      </c>
      <c r="ER66">
        <v>33.73</v>
      </c>
      <c r="ES66">
        <v>0</v>
      </c>
      <c r="ET66">
        <v>0</v>
      </c>
      <c r="EU66">
        <v>0</v>
      </c>
      <c r="EV66">
        <v>33.73</v>
      </c>
      <c r="EW66">
        <v>2.32</v>
      </c>
      <c r="EX66">
        <v>0</v>
      </c>
      <c r="EY66">
        <v>0</v>
      </c>
      <c r="FQ66">
        <v>0</v>
      </c>
      <c r="FR66">
        <f>ROUND(IF(AND(BH66=3,BI66=3),P66,0),2)</f>
        <v>0</v>
      </c>
      <c r="FS66">
        <v>0</v>
      </c>
      <c r="FX66">
        <v>76</v>
      </c>
      <c r="FY66">
        <v>44</v>
      </c>
      <c r="GF66">
        <v>-325190519</v>
      </c>
      <c r="GG66">
        <v>2</v>
      </c>
      <c r="GH66">
        <v>1</v>
      </c>
      <c r="GI66">
        <v>2</v>
      </c>
      <c r="GJ66">
        <v>0</v>
      </c>
      <c r="GK66">
        <f>ROUND(R66*(R12)/100,2)</f>
        <v>0</v>
      </c>
      <c r="GL66">
        <f>ROUND(IF(AND(BH66=3,BI66=3,FS66&lt;&gt;0),P66,0),2)</f>
        <v>0</v>
      </c>
      <c r="GM66">
        <f>O66+X66+Y66+GK66</f>
        <v>35787.34</v>
      </c>
      <c r="GN66">
        <f>ROUND(IF(OR(BI66=0,BI66=1),O66+X66+Y66+GK66,0),2)</f>
        <v>35787.34</v>
      </c>
      <c r="GO66">
        <f>ROUND(IF(BI66=2,O66+X66+Y66+GK66,0),2)</f>
        <v>0</v>
      </c>
      <c r="GP66">
        <f>ROUND(IF(BI66=4,O66+X66+Y66+GK66,0),2)</f>
        <v>0</v>
      </c>
      <c r="GR66">
        <v>0</v>
      </c>
    </row>
    <row r="68" spans="1:118" ht="12.75">
      <c r="A68" s="2">
        <v>51</v>
      </c>
      <c r="B68" s="2">
        <f>B59</f>
        <v>1</v>
      </c>
      <c r="C68" s="2">
        <f>A59</f>
        <v>4</v>
      </c>
      <c r="D68" s="2">
        <f>ROW(A59)</f>
        <v>59</v>
      </c>
      <c r="E68" s="2"/>
      <c r="F68" s="2" t="str">
        <f>IF(F59&lt;&gt;"",F59,"")</f>
        <v>Новый раздел</v>
      </c>
      <c r="G68" s="2" t="str">
        <f>IF(G59&lt;&gt;"",G59,"")</f>
        <v>Колымажный 2/Волхонка 10</v>
      </c>
      <c r="H68" s="2"/>
      <c r="I68" s="2"/>
      <c r="J68" s="2"/>
      <c r="K68" s="2"/>
      <c r="L68" s="2"/>
      <c r="M68" s="2"/>
      <c r="N68" s="2"/>
      <c r="O68" s="2">
        <f aca="true" t="shared" si="30" ref="O68:T68">ROUND(AB68,2)</f>
        <v>27036.27</v>
      </c>
      <c r="P68" s="2">
        <f t="shared" si="30"/>
        <v>218.56</v>
      </c>
      <c r="Q68" s="2">
        <f t="shared" si="30"/>
        <v>69.03</v>
      </c>
      <c r="R68" s="2">
        <f t="shared" si="30"/>
        <v>21.25</v>
      </c>
      <c r="S68" s="2">
        <f t="shared" si="30"/>
        <v>26748.68</v>
      </c>
      <c r="T68" s="2">
        <f t="shared" si="30"/>
        <v>0</v>
      </c>
      <c r="U68" s="2">
        <f>AH68</f>
        <v>124.2205496</v>
      </c>
      <c r="V68" s="2">
        <f>AI68</f>
        <v>0</v>
      </c>
      <c r="W68" s="2">
        <f>ROUND(AJ68,2)</f>
        <v>0</v>
      </c>
      <c r="X68" s="2">
        <f>ROUND(AK68,2)</f>
        <v>20951.09</v>
      </c>
      <c r="Y68" s="2">
        <f>ROUND(AL68,2)</f>
        <v>11769.42</v>
      </c>
      <c r="Z68" s="2"/>
      <c r="AA68" s="2"/>
      <c r="AB68" s="2">
        <f>ROUND(SUMIF(AA63:AA66,"=24625873",O63:O66),2)</f>
        <v>27036.27</v>
      </c>
      <c r="AC68" s="2">
        <f>ROUND(SUMIF(AA63:AA66,"=24625873",P63:P66),2)</f>
        <v>218.56</v>
      </c>
      <c r="AD68" s="2">
        <f>ROUND(SUMIF(AA63:AA66,"=24625873",Q63:Q66),2)</f>
        <v>69.03</v>
      </c>
      <c r="AE68" s="2">
        <f>ROUND(SUMIF(AA63:AA66,"=24625873",R63:R66),2)</f>
        <v>21.25</v>
      </c>
      <c r="AF68" s="2">
        <f>ROUND(SUMIF(AA63:AA66,"=24625873",S63:S66),2)</f>
        <v>26748.68</v>
      </c>
      <c r="AG68" s="2">
        <f>ROUND(SUMIF(AA63:AA66,"=24625873",T63:T66),2)</f>
        <v>0</v>
      </c>
      <c r="AH68" s="2">
        <f>SUMIF(AA63:AA66,"=24625873",U63:U66)</f>
        <v>124.2205496</v>
      </c>
      <c r="AI68" s="2">
        <f>SUMIF(AA63:AA66,"=24625873",V63:V66)</f>
        <v>0</v>
      </c>
      <c r="AJ68" s="2">
        <f>ROUND(SUMIF(AA63:AA66,"=24625873",W63:W66),2)</f>
        <v>0</v>
      </c>
      <c r="AK68" s="2">
        <f>ROUND(SUMIF(AA63:AA66,"=24625873",X63:X66),2)</f>
        <v>20951.09</v>
      </c>
      <c r="AL68" s="2">
        <f>ROUND(SUMIF(AA63:AA66,"=24625873",Y63:Y66),2)</f>
        <v>11769.42</v>
      </c>
      <c r="AM68" s="2"/>
      <c r="AN68" s="2"/>
      <c r="AO68" s="2">
        <f aca="true" t="shared" si="31" ref="AO68:AZ68">ROUND(BB68,2)</f>
        <v>0</v>
      </c>
      <c r="AP68" s="2">
        <f t="shared" si="31"/>
        <v>0</v>
      </c>
      <c r="AQ68" s="2">
        <f t="shared" si="31"/>
        <v>0</v>
      </c>
      <c r="AR68" s="2">
        <f t="shared" si="31"/>
        <v>59792.69</v>
      </c>
      <c r="AS68" s="2">
        <f t="shared" si="31"/>
        <v>59792.69</v>
      </c>
      <c r="AT68" s="2">
        <f t="shared" si="31"/>
        <v>0</v>
      </c>
      <c r="AU68" s="2">
        <f t="shared" si="31"/>
        <v>0</v>
      </c>
      <c r="AV68" s="2">
        <f t="shared" si="31"/>
        <v>218.56</v>
      </c>
      <c r="AW68" s="2">
        <f t="shared" si="31"/>
        <v>218.56</v>
      </c>
      <c r="AX68" s="2">
        <f t="shared" si="31"/>
        <v>0</v>
      </c>
      <c r="AY68" s="2">
        <f t="shared" si="31"/>
        <v>218.56</v>
      </c>
      <c r="AZ68" s="2">
        <f t="shared" si="31"/>
        <v>0</v>
      </c>
      <c r="BA68" s="2"/>
      <c r="BB68" s="2">
        <f>ROUND(SUMIF(AA63:AA66,"=24625873",FQ63:FQ66),2)</f>
        <v>0</v>
      </c>
      <c r="BC68" s="2">
        <f>ROUND(SUMIF(AA63:AA66,"=24625873",FR63:FR66),2)</f>
        <v>0</v>
      </c>
      <c r="BD68" s="2">
        <f>ROUND(SUMIF(AA63:AA66,"=24625873",GL63:GL66),2)</f>
        <v>0</v>
      </c>
      <c r="BE68" s="2">
        <f>ROUND(SUMIF(AA63:AA66,"=24625873",GM63:GM66),2)</f>
        <v>59792.69</v>
      </c>
      <c r="BF68" s="2">
        <f>ROUND(SUMIF(AA63:AA66,"=24625873",GN63:GN66),2)</f>
        <v>59792.69</v>
      </c>
      <c r="BG68" s="2">
        <f>ROUND(SUMIF(AA63:AA66,"=24625873",GO63:GO66),2)</f>
        <v>0</v>
      </c>
      <c r="BH68" s="2">
        <f>ROUND(SUMIF(AA63:AA66,"=24625873",GP63:GP66),2)</f>
        <v>0</v>
      </c>
      <c r="BI68" s="2">
        <f>AC68-BB68</f>
        <v>218.56</v>
      </c>
      <c r="BJ68" s="2">
        <f>AC68-BC68</f>
        <v>218.56</v>
      </c>
      <c r="BK68" s="2">
        <f>BB68-BD68</f>
        <v>0</v>
      </c>
      <c r="BL68" s="2">
        <f>AC68-BB68-BC68+BD68</f>
        <v>218.56</v>
      </c>
      <c r="BM68" s="2">
        <f>BC68-BD68</f>
        <v>0</v>
      </c>
      <c r="BN68" s="2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>
        <v>0</v>
      </c>
    </row>
    <row r="70" spans="1:16" ht="12.75">
      <c r="A70" s="4">
        <v>50</v>
      </c>
      <c r="B70" s="4">
        <v>0</v>
      </c>
      <c r="C70" s="4">
        <v>0</v>
      </c>
      <c r="D70" s="4">
        <v>1</v>
      </c>
      <c r="E70" s="4">
        <v>201</v>
      </c>
      <c r="F70" s="4">
        <f>ROUND(Source!O68,O70)</f>
        <v>27036.27</v>
      </c>
      <c r="G70" s="4" t="s">
        <v>40</v>
      </c>
      <c r="H70" s="4" t="s">
        <v>41</v>
      </c>
      <c r="I70" s="4"/>
      <c r="J70" s="4"/>
      <c r="K70" s="4">
        <v>201</v>
      </c>
      <c r="L70" s="4">
        <v>1</v>
      </c>
      <c r="M70" s="4">
        <v>3</v>
      </c>
      <c r="N70" s="4" t="s">
        <v>3</v>
      </c>
      <c r="O70" s="4">
        <v>2</v>
      </c>
      <c r="P70" s="4"/>
    </row>
    <row r="71" spans="1:16" ht="12.75">
      <c r="A71" s="4">
        <v>50</v>
      </c>
      <c r="B71" s="4">
        <v>0</v>
      </c>
      <c r="C71" s="4">
        <v>0</v>
      </c>
      <c r="D71" s="4">
        <v>1</v>
      </c>
      <c r="E71" s="4">
        <v>202</v>
      </c>
      <c r="F71" s="4">
        <f>ROUND(Source!P68,O71)</f>
        <v>218.56</v>
      </c>
      <c r="G71" s="4" t="s">
        <v>42</v>
      </c>
      <c r="H71" s="4" t="s">
        <v>43</v>
      </c>
      <c r="I71" s="4"/>
      <c r="J71" s="4"/>
      <c r="K71" s="4">
        <v>202</v>
      </c>
      <c r="L71" s="4">
        <v>2</v>
      </c>
      <c r="M71" s="4">
        <v>3</v>
      </c>
      <c r="N71" s="4" t="s">
        <v>3</v>
      </c>
      <c r="O71" s="4">
        <v>2</v>
      </c>
      <c r="P71" s="4"/>
    </row>
    <row r="72" spans="1:16" ht="12.75">
      <c r="A72" s="4">
        <v>50</v>
      </c>
      <c r="B72" s="4">
        <v>0</v>
      </c>
      <c r="C72" s="4">
        <v>0</v>
      </c>
      <c r="D72" s="4">
        <v>1</v>
      </c>
      <c r="E72" s="4">
        <v>222</v>
      </c>
      <c r="F72" s="4">
        <f>ROUND(Source!AO68,O72)</f>
        <v>0</v>
      </c>
      <c r="G72" s="4" t="s">
        <v>44</v>
      </c>
      <c r="H72" s="4" t="s">
        <v>45</v>
      </c>
      <c r="I72" s="4"/>
      <c r="J72" s="4"/>
      <c r="K72" s="4">
        <v>222</v>
      </c>
      <c r="L72" s="4">
        <v>3</v>
      </c>
      <c r="M72" s="4">
        <v>3</v>
      </c>
      <c r="N72" s="4" t="s">
        <v>3</v>
      </c>
      <c r="O72" s="4">
        <v>2</v>
      </c>
      <c r="P72" s="4"/>
    </row>
    <row r="73" spans="1:16" ht="12.75">
      <c r="A73" s="4">
        <v>50</v>
      </c>
      <c r="B73" s="4">
        <v>0</v>
      </c>
      <c r="C73" s="4">
        <v>0</v>
      </c>
      <c r="D73" s="4">
        <v>1</v>
      </c>
      <c r="E73" s="4">
        <v>225</v>
      </c>
      <c r="F73" s="4">
        <f>ROUND(Source!AV68,O73)</f>
        <v>218.56</v>
      </c>
      <c r="G73" s="4" t="s">
        <v>46</v>
      </c>
      <c r="H73" s="4" t="s">
        <v>47</v>
      </c>
      <c r="I73" s="4"/>
      <c r="J73" s="4"/>
      <c r="K73" s="4">
        <v>225</v>
      </c>
      <c r="L73" s="4">
        <v>4</v>
      </c>
      <c r="M73" s="4">
        <v>3</v>
      </c>
      <c r="N73" s="4" t="s">
        <v>3</v>
      </c>
      <c r="O73" s="4">
        <v>2</v>
      </c>
      <c r="P73" s="4"/>
    </row>
    <row r="74" spans="1:16" ht="12.75">
      <c r="A74" s="4">
        <v>50</v>
      </c>
      <c r="B74" s="4">
        <v>0</v>
      </c>
      <c r="C74" s="4">
        <v>0</v>
      </c>
      <c r="D74" s="4">
        <v>1</v>
      </c>
      <c r="E74" s="4">
        <v>226</v>
      </c>
      <c r="F74" s="4">
        <f>ROUND(Source!AW68,O74)</f>
        <v>218.56</v>
      </c>
      <c r="G74" s="4" t="s">
        <v>48</v>
      </c>
      <c r="H74" s="4" t="s">
        <v>49</v>
      </c>
      <c r="I74" s="4"/>
      <c r="J74" s="4"/>
      <c r="K74" s="4">
        <v>226</v>
      </c>
      <c r="L74" s="4">
        <v>5</v>
      </c>
      <c r="M74" s="4">
        <v>3</v>
      </c>
      <c r="N74" s="4" t="s">
        <v>3</v>
      </c>
      <c r="O74" s="4">
        <v>2</v>
      </c>
      <c r="P74" s="4"/>
    </row>
    <row r="75" spans="1:16" ht="12.75">
      <c r="A75" s="4">
        <v>50</v>
      </c>
      <c r="B75" s="4">
        <v>0</v>
      </c>
      <c r="C75" s="4">
        <v>0</v>
      </c>
      <c r="D75" s="4">
        <v>1</v>
      </c>
      <c r="E75" s="4">
        <v>227</v>
      </c>
      <c r="F75" s="4">
        <f>ROUND(Source!AX68,O75)</f>
        <v>0</v>
      </c>
      <c r="G75" s="4" t="s">
        <v>50</v>
      </c>
      <c r="H75" s="4" t="s">
        <v>51</v>
      </c>
      <c r="I75" s="4"/>
      <c r="J75" s="4"/>
      <c r="K75" s="4">
        <v>227</v>
      </c>
      <c r="L75" s="4">
        <v>6</v>
      </c>
      <c r="M75" s="4">
        <v>3</v>
      </c>
      <c r="N75" s="4" t="s">
        <v>3</v>
      </c>
      <c r="O75" s="4">
        <v>2</v>
      </c>
      <c r="P75" s="4"/>
    </row>
    <row r="76" spans="1:16" ht="12.75">
      <c r="A76" s="4">
        <v>50</v>
      </c>
      <c r="B76" s="4">
        <v>0</v>
      </c>
      <c r="C76" s="4">
        <v>0</v>
      </c>
      <c r="D76" s="4">
        <v>1</v>
      </c>
      <c r="E76" s="4">
        <v>228</v>
      </c>
      <c r="F76" s="4">
        <f>ROUND(Source!AY68,O76)</f>
        <v>218.56</v>
      </c>
      <c r="G76" s="4" t="s">
        <v>52</v>
      </c>
      <c r="H76" s="4" t="s">
        <v>53</v>
      </c>
      <c r="I76" s="4"/>
      <c r="J76" s="4"/>
      <c r="K76" s="4">
        <v>228</v>
      </c>
      <c r="L76" s="4">
        <v>7</v>
      </c>
      <c r="M76" s="4">
        <v>3</v>
      </c>
      <c r="N76" s="4" t="s">
        <v>3</v>
      </c>
      <c r="O76" s="4">
        <v>2</v>
      </c>
      <c r="P76" s="4"/>
    </row>
    <row r="77" spans="1:16" ht="12.75">
      <c r="A77" s="4">
        <v>50</v>
      </c>
      <c r="B77" s="4">
        <v>0</v>
      </c>
      <c r="C77" s="4">
        <v>0</v>
      </c>
      <c r="D77" s="4">
        <v>1</v>
      </c>
      <c r="E77" s="4">
        <v>216</v>
      </c>
      <c r="F77" s="4">
        <f>ROUND(Source!AP68,O77)</f>
        <v>0</v>
      </c>
      <c r="G77" s="4" t="s">
        <v>54</v>
      </c>
      <c r="H77" s="4" t="s">
        <v>55</v>
      </c>
      <c r="I77" s="4"/>
      <c r="J77" s="4"/>
      <c r="K77" s="4">
        <v>216</v>
      </c>
      <c r="L77" s="4">
        <v>8</v>
      </c>
      <c r="M77" s="4">
        <v>3</v>
      </c>
      <c r="N77" s="4" t="s">
        <v>3</v>
      </c>
      <c r="O77" s="4">
        <v>2</v>
      </c>
      <c r="P77" s="4"/>
    </row>
    <row r="78" spans="1:16" ht="12.75">
      <c r="A78" s="4">
        <v>50</v>
      </c>
      <c r="B78" s="4">
        <v>0</v>
      </c>
      <c r="C78" s="4">
        <v>0</v>
      </c>
      <c r="D78" s="4">
        <v>1</v>
      </c>
      <c r="E78" s="4">
        <v>223</v>
      </c>
      <c r="F78" s="4">
        <f>ROUND(Source!AQ68,O78)</f>
        <v>0</v>
      </c>
      <c r="G78" s="4" t="s">
        <v>56</v>
      </c>
      <c r="H78" s="4" t="s">
        <v>57</v>
      </c>
      <c r="I78" s="4"/>
      <c r="J78" s="4"/>
      <c r="K78" s="4">
        <v>223</v>
      </c>
      <c r="L78" s="4">
        <v>9</v>
      </c>
      <c r="M78" s="4">
        <v>3</v>
      </c>
      <c r="N78" s="4" t="s">
        <v>3</v>
      </c>
      <c r="O78" s="4">
        <v>2</v>
      </c>
      <c r="P78" s="4"/>
    </row>
    <row r="79" spans="1:16" ht="12.75">
      <c r="A79" s="4">
        <v>50</v>
      </c>
      <c r="B79" s="4">
        <v>0</v>
      </c>
      <c r="C79" s="4">
        <v>0</v>
      </c>
      <c r="D79" s="4">
        <v>1</v>
      </c>
      <c r="E79" s="4">
        <v>229</v>
      </c>
      <c r="F79" s="4">
        <f>ROUND(Source!AZ68,O79)</f>
        <v>0</v>
      </c>
      <c r="G79" s="4" t="s">
        <v>58</v>
      </c>
      <c r="H79" s="4" t="s">
        <v>59</v>
      </c>
      <c r="I79" s="4"/>
      <c r="J79" s="4"/>
      <c r="K79" s="4">
        <v>229</v>
      </c>
      <c r="L79" s="4">
        <v>10</v>
      </c>
      <c r="M79" s="4">
        <v>3</v>
      </c>
      <c r="N79" s="4" t="s">
        <v>3</v>
      </c>
      <c r="O79" s="4">
        <v>2</v>
      </c>
      <c r="P79" s="4"/>
    </row>
    <row r="80" spans="1:16" ht="12.75">
      <c r="A80" s="4">
        <v>50</v>
      </c>
      <c r="B80" s="4">
        <v>0</v>
      </c>
      <c r="C80" s="4">
        <v>0</v>
      </c>
      <c r="D80" s="4">
        <v>1</v>
      </c>
      <c r="E80" s="4">
        <v>203</v>
      </c>
      <c r="F80" s="4">
        <f>ROUND(Source!Q68,O80)</f>
        <v>69.03</v>
      </c>
      <c r="G80" s="4" t="s">
        <v>60</v>
      </c>
      <c r="H80" s="4" t="s">
        <v>61</v>
      </c>
      <c r="I80" s="4"/>
      <c r="J80" s="4"/>
      <c r="K80" s="4">
        <v>203</v>
      </c>
      <c r="L80" s="4">
        <v>11</v>
      </c>
      <c r="M80" s="4">
        <v>3</v>
      </c>
      <c r="N80" s="4" t="s">
        <v>3</v>
      </c>
      <c r="O80" s="4">
        <v>2</v>
      </c>
      <c r="P80" s="4"/>
    </row>
    <row r="81" spans="1:16" ht="12.75">
      <c r="A81" s="4">
        <v>50</v>
      </c>
      <c r="B81" s="4">
        <v>0</v>
      </c>
      <c r="C81" s="4">
        <v>0</v>
      </c>
      <c r="D81" s="4">
        <v>1</v>
      </c>
      <c r="E81" s="4">
        <v>204</v>
      </c>
      <c r="F81" s="4">
        <f>ROUND(Source!R68,O81)</f>
        <v>21.25</v>
      </c>
      <c r="G81" s="4" t="s">
        <v>62</v>
      </c>
      <c r="H81" s="4" t="s">
        <v>63</v>
      </c>
      <c r="I81" s="4"/>
      <c r="J81" s="4"/>
      <c r="K81" s="4">
        <v>204</v>
      </c>
      <c r="L81" s="4">
        <v>12</v>
      </c>
      <c r="M81" s="4">
        <v>3</v>
      </c>
      <c r="N81" s="4" t="s">
        <v>3</v>
      </c>
      <c r="O81" s="4">
        <v>2</v>
      </c>
      <c r="P81" s="4"/>
    </row>
    <row r="82" spans="1:16" ht="12.75">
      <c r="A82" s="4">
        <v>50</v>
      </c>
      <c r="B82" s="4">
        <v>0</v>
      </c>
      <c r="C82" s="4">
        <v>0</v>
      </c>
      <c r="D82" s="4">
        <v>1</v>
      </c>
      <c r="E82" s="4">
        <v>205</v>
      </c>
      <c r="F82" s="4">
        <f>ROUND(Source!S68,O82)</f>
        <v>26748.68</v>
      </c>
      <c r="G82" s="4" t="s">
        <v>64</v>
      </c>
      <c r="H82" s="4" t="s">
        <v>65</v>
      </c>
      <c r="I82" s="4"/>
      <c r="J82" s="4"/>
      <c r="K82" s="4">
        <v>205</v>
      </c>
      <c r="L82" s="4">
        <v>13</v>
      </c>
      <c r="M82" s="4">
        <v>3</v>
      </c>
      <c r="N82" s="4" t="s">
        <v>3</v>
      </c>
      <c r="O82" s="4">
        <v>2</v>
      </c>
      <c r="P82" s="4"/>
    </row>
    <row r="83" spans="1:16" ht="12.75">
      <c r="A83" s="4">
        <v>50</v>
      </c>
      <c r="B83" s="4">
        <v>0</v>
      </c>
      <c r="C83" s="4">
        <v>0</v>
      </c>
      <c r="D83" s="4">
        <v>1</v>
      </c>
      <c r="E83" s="4">
        <v>214</v>
      </c>
      <c r="F83" s="4">
        <f>ROUND(Source!AS68,O83)</f>
        <v>59792.69</v>
      </c>
      <c r="G83" s="4" t="s">
        <v>66</v>
      </c>
      <c r="H83" s="4" t="s">
        <v>67</v>
      </c>
      <c r="I83" s="4"/>
      <c r="J83" s="4"/>
      <c r="K83" s="4">
        <v>214</v>
      </c>
      <c r="L83" s="4">
        <v>14</v>
      </c>
      <c r="M83" s="4">
        <v>3</v>
      </c>
      <c r="N83" s="4" t="s">
        <v>3</v>
      </c>
      <c r="O83" s="4">
        <v>2</v>
      </c>
      <c r="P83" s="4"/>
    </row>
    <row r="84" spans="1:16" ht="12.75">
      <c r="A84" s="4">
        <v>50</v>
      </c>
      <c r="B84" s="4">
        <v>0</v>
      </c>
      <c r="C84" s="4">
        <v>0</v>
      </c>
      <c r="D84" s="4">
        <v>1</v>
      </c>
      <c r="E84" s="4">
        <v>215</v>
      </c>
      <c r="F84" s="4">
        <f>ROUND(Source!AT68,O84)</f>
        <v>0</v>
      </c>
      <c r="G84" s="4" t="s">
        <v>68</v>
      </c>
      <c r="H84" s="4" t="s">
        <v>69</v>
      </c>
      <c r="I84" s="4"/>
      <c r="J84" s="4"/>
      <c r="K84" s="4">
        <v>215</v>
      </c>
      <c r="L84" s="4">
        <v>15</v>
      </c>
      <c r="M84" s="4">
        <v>3</v>
      </c>
      <c r="N84" s="4" t="s">
        <v>3</v>
      </c>
      <c r="O84" s="4">
        <v>2</v>
      </c>
      <c r="P84" s="4"/>
    </row>
    <row r="85" spans="1:16" ht="12.75">
      <c r="A85" s="4">
        <v>50</v>
      </c>
      <c r="B85" s="4">
        <v>0</v>
      </c>
      <c r="C85" s="4">
        <v>0</v>
      </c>
      <c r="D85" s="4">
        <v>1</v>
      </c>
      <c r="E85" s="4">
        <v>217</v>
      </c>
      <c r="F85" s="4">
        <f>ROUND(Source!AU68,O85)</f>
        <v>0</v>
      </c>
      <c r="G85" s="4" t="s">
        <v>70</v>
      </c>
      <c r="H85" s="4" t="s">
        <v>71</v>
      </c>
      <c r="I85" s="4"/>
      <c r="J85" s="4"/>
      <c r="K85" s="4">
        <v>217</v>
      </c>
      <c r="L85" s="4">
        <v>16</v>
      </c>
      <c r="M85" s="4">
        <v>3</v>
      </c>
      <c r="N85" s="4" t="s">
        <v>3</v>
      </c>
      <c r="O85" s="4">
        <v>2</v>
      </c>
      <c r="P85" s="4"/>
    </row>
    <row r="86" spans="1:16" ht="12.75">
      <c r="A86" s="4">
        <v>50</v>
      </c>
      <c r="B86" s="4">
        <v>0</v>
      </c>
      <c r="C86" s="4">
        <v>0</v>
      </c>
      <c r="D86" s="4">
        <v>1</v>
      </c>
      <c r="E86" s="4">
        <v>206</v>
      </c>
      <c r="F86" s="4">
        <f>ROUND(Source!T68,O86)</f>
        <v>0</v>
      </c>
      <c r="G86" s="4" t="s">
        <v>72</v>
      </c>
      <c r="H86" s="4" t="s">
        <v>73</v>
      </c>
      <c r="I86" s="4"/>
      <c r="J86" s="4"/>
      <c r="K86" s="4">
        <v>206</v>
      </c>
      <c r="L86" s="4">
        <v>17</v>
      </c>
      <c r="M86" s="4">
        <v>3</v>
      </c>
      <c r="N86" s="4" t="s">
        <v>3</v>
      </c>
      <c r="O86" s="4">
        <v>2</v>
      </c>
      <c r="P86" s="4"/>
    </row>
    <row r="87" spans="1:16" ht="12.75">
      <c r="A87" s="4">
        <v>50</v>
      </c>
      <c r="B87" s="4">
        <v>0</v>
      </c>
      <c r="C87" s="4">
        <v>0</v>
      </c>
      <c r="D87" s="4">
        <v>1</v>
      </c>
      <c r="E87" s="4">
        <v>207</v>
      </c>
      <c r="F87" s="4">
        <f>Source!U68</f>
        <v>124.2205496</v>
      </c>
      <c r="G87" s="4" t="s">
        <v>74</v>
      </c>
      <c r="H87" s="4" t="s">
        <v>75</v>
      </c>
      <c r="I87" s="4"/>
      <c r="J87" s="4"/>
      <c r="K87" s="4">
        <v>207</v>
      </c>
      <c r="L87" s="4">
        <v>18</v>
      </c>
      <c r="M87" s="4">
        <v>3</v>
      </c>
      <c r="N87" s="4" t="s">
        <v>3</v>
      </c>
      <c r="O87" s="4">
        <v>-1</v>
      </c>
      <c r="P87" s="4"/>
    </row>
    <row r="88" spans="1:16" ht="12.75">
      <c r="A88" s="4">
        <v>50</v>
      </c>
      <c r="B88" s="4">
        <v>0</v>
      </c>
      <c r="C88" s="4">
        <v>0</v>
      </c>
      <c r="D88" s="4">
        <v>1</v>
      </c>
      <c r="E88" s="4">
        <v>208</v>
      </c>
      <c r="F88" s="4">
        <f>Source!V68</f>
        <v>0</v>
      </c>
      <c r="G88" s="4" t="s">
        <v>76</v>
      </c>
      <c r="H88" s="4" t="s">
        <v>77</v>
      </c>
      <c r="I88" s="4"/>
      <c r="J88" s="4"/>
      <c r="K88" s="4">
        <v>208</v>
      </c>
      <c r="L88" s="4">
        <v>19</v>
      </c>
      <c r="M88" s="4">
        <v>3</v>
      </c>
      <c r="N88" s="4" t="s">
        <v>3</v>
      </c>
      <c r="O88" s="4">
        <v>-1</v>
      </c>
      <c r="P88" s="4"/>
    </row>
    <row r="89" spans="1:16" ht="12.75">
      <c r="A89" s="4">
        <v>50</v>
      </c>
      <c r="B89" s="4">
        <v>0</v>
      </c>
      <c r="C89" s="4">
        <v>0</v>
      </c>
      <c r="D89" s="4">
        <v>1</v>
      </c>
      <c r="E89" s="4">
        <v>209</v>
      </c>
      <c r="F89" s="4">
        <f>ROUND(Source!W68,O89)</f>
        <v>0</v>
      </c>
      <c r="G89" s="4" t="s">
        <v>78</v>
      </c>
      <c r="H89" s="4" t="s">
        <v>79</v>
      </c>
      <c r="I89" s="4"/>
      <c r="J89" s="4"/>
      <c r="K89" s="4">
        <v>209</v>
      </c>
      <c r="L89" s="4">
        <v>20</v>
      </c>
      <c r="M89" s="4">
        <v>3</v>
      </c>
      <c r="N89" s="4" t="s">
        <v>3</v>
      </c>
      <c r="O89" s="4">
        <v>2</v>
      </c>
      <c r="P89" s="4"/>
    </row>
    <row r="90" spans="1:16" ht="12.75">
      <c r="A90" s="4">
        <v>50</v>
      </c>
      <c r="B90" s="4">
        <v>0</v>
      </c>
      <c r="C90" s="4">
        <v>0</v>
      </c>
      <c r="D90" s="4">
        <v>1</v>
      </c>
      <c r="E90" s="4">
        <v>210</v>
      </c>
      <c r="F90" s="4">
        <f>ROUND(Source!X68,O90)</f>
        <v>20951.09</v>
      </c>
      <c r="G90" s="4" t="s">
        <v>80</v>
      </c>
      <c r="H90" s="4" t="s">
        <v>81</v>
      </c>
      <c r="I90" s="4"/>
      <c r="J90" s="4"/>
      <c r="K90" s="4">
        <v>210</v>
      </c>
      <c r="L90" s="4">
        <v>21</v>
      </c>
      <c r="M90" s="4">
        <v>3</v>
      </c>
      <c r="N90" s="4" t="s">
        <v>3</v>
      </c>
      <c r="O90" s="4">
        <v>2</v>
      </c>
      <c r="P90" s="4"/>
    </row>
    <row r="91" spans="1:16" ht="12.75">
      <c r="A91" s="4">
        <v>50</v>
      </c>
      <c r="B91" s="4">
        <v>0</v>
      </c>
      <c r="C91" s="4">
        <v>0</v>
      </c>
      <c r="D91" s="4">
        <v>1</v>
      </c>
      <c r="E91" s="4">
        <v>211</v>
      </c>
      <c r="F91" s="4">
        <f>ROUND(Source!Y68,O91)</f>
        <v>11769.42</v>
      </c>
      <c r="G91" s="4" t="s">
        <v>82</v>
      </c>
      <c r="H91" s="4" t="s">
        <v>83</v>
      </c>
      <c r="I91" s="4"/>
      <c r="J91" s="4"/>
      <c r="K91" s="4">
        <v>211</v>
      </c>
      <c r="L91" s="4">
        <v>22</v>
      </c>
      <c r="M91" s="4">
        <v>3</v>
      </c>
      <c r="N91" s="4" t="s">
        <v>3</v>
      </c>
      <c r="O91" s="4">
        <v>2</v>
      </c>
      <c r="P91" s="4"/>
    </row>
    <row r="92" spans="1:16" ht="12.75">
      <c r="A92" s="4">
        <v>50</v>
      </c>
      <c r="B92" s="4">
        <v>0</v>
      </c>
      <c r="C92" s="4">
        <v>0</v>
      </c>
      <c r="D92" s="4">
        <v>1</v>
      </c>
      <c r="E92" s="4">
        <v>224</v>
      </c>
      <c r="F92" s="4">
        <f>ROUND(Source!AR68,O92)</f>
        <v>59792.69</v>
      </c>
      <c r="G92" s="4" t="s">
        <v>84</v>
      </c>
      <c r="H92" s="4" t="s">
        <v>85</v>
      </c>
      <c r="I92" s="4"/>
      <c r="J92" s="4"/>
      <c r="K92" s="4">
        <v>224</v>
      </c>
      <c r="L92" s="4">
        <v>23</v>
      </c>
      <c r="M92" s="4">
        <v>3</v>
      </c>
      <c r="N92" s="4" t="s">
        <v>3</v>
      </c>
      <c r="O92" s="4">
        <v>2</v>
      </c>
      <c r="P92" s="4"/>
    </row>
    <row r="94" spans="1:88" ht="12.75">
      <c r="A94" s="1">
        <v>4</v>
      </c>
      <c r="B94" s="1">
        <v>1</v>
      </c>
      <c r="C94" s="1"/>
      <c r="D94" s="1">
        <f>ROW(A103)</f>
        <v>103</v>
      </c>
      <c r="E94" s="1"/>
      <c r="F94" s="1" t="s">
        <v>14</v>
      </c>
      <c r="G94" s="1" t="s">
        <v>89</v>
      </c>
      <c r="H94" s="1" t="s">
        <v>3</v>
      </c>
      <c r="I94" s="1">
        <v>0</v>
      </c>
      <c r="J94" s="1"/>
      <c r="K94" s="1">
        <v>0</v>
      </c>
      <c r="L94" s="1"/>
      <c r="M94" s="1"/>
      <c r="N94" s="1"/>
      <c r="O94" s="1"/>
      <c r="P94" s="1"/>
      <c r="Q94" s="1"/>
      <c r="R94" s="1"/>
      <c r="S94" s="1"/>
      <c r="T94" s="1"/>
      <c r="U94" s="1" t="s">
        <v>3</v>
      </c>
      <c r="V94" s="1">
        <v>0</v>
      </c>
      <c r="W94" s="1"/>
      <c r="X94" s="1"/>
      <c r="Y94" s="1"/>
      <c r="Z94" s="1"/>
      <c r="AA94" s="1"/>
      <c r="AB94" s="1" t="s">
        <v>3</v>
      </c>
      <c r="AC94" s="1" t="s">
        <v>3</v>
      </c>
      <c r="AD94" s="1" t="s">
        <v>3</v>
      </c>
      <c r="AE94" s="1" t="s">
        <v>3</v>
      </c>
      <c r="AF94" s="1" t="s">
        <v>3</v>
      </c>
      <c r="AG94" s="1" t="s">
        <v>3</v>
      </c>
      <c r="AH94" s="1"/>
      <c r="AI94" s="1"/>
      <c r="AJ94" s="1"/>
      <c r="AK94" s="1"/>
      <c r="AL94" s="1"/>
      <c r="AM94" s="1"/>
      <c r="AN94" s="1"/>
      <c r="AO94" s="1"/>
      <c r="AP94" s="1" t="s">
        <v>3</v>
      </c>
      <c r="AQ94" s="1" t="s">
        <v>3</v>
      </c>
      <c r="AR94" s="1" t="s">
        <v>3</v>
      </c>
      <c r="AS94" s="1"/>
      <c r="AT94" s="1"/>
      <c r="AU94" s="1"/>
      <c r="AV94" s="1"/>
      <c r="AW94" s="1"/>
      <c r="AX94" s="1"/>
      <c r="AY94" s="1"/>
      <c r="AZ94" s="1" t="s">
        <v>3</v>
      </c>
      <c r="BA94" s="1"/>
      <c r="BB94" s="1" t="s">
        <v>3</v>
      </c>
      <c r="BC94" s="1" t="s">
        <v>3</v>
      </c>
      <c r="BD94" s="1" t="s">
        <v>3</v>
      </c>
      <c r="BE94" s="1" t="s">
        <v>3</v>
      </c>
      <c r="BF94" s="1" t="s">
        <v>3</v>
      </c>
      <c r="BG94" s="1" t="s">
        <v>3</v>
      </c>
      <c r="BH94" s="1" t="s">
        <v>3</v>
      </c>
      <c r="BI94" s="1" t="s">
        <v>3</v>
      </c>
      <c r="BJ94" s="1" t="s">
        <v>3</v>
      </c>
      <c r="BK94" s="1" t="s">
        <v>3</v>
      </c>
      <c r="BL94" s="1" t="s">
        <v>3</v>
      </c>
      <c r="BM94" s="1" t="s">
        <v>3</v>
      </c>
      <c r="BN94" s="1" t="s">
        <v>3</v>
      </c>
      <c r="BO94" s="1" t="s">
        <v>3</v>
      </c>
      <c r="BP94" s="1" t="s">
        <v>3</v>
      </c>
      <c r="BQ94" s="1"/>
      <c r="BR94" s="1"/>
      <c r="BS94" s="1"/>
      <c r="BT94" s="1"/>
      <c r="BU94" s="1"/>
      <c r="BV94" s="1"/>
      <c r="BW94" s="1"/>
      <c r="BX94" s="1">
        <v>0</v>
      </c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>
        <v>0</v>
      </c>
    </row>
    <row r="96" spans="1:118" ht="12.75">
      <c r="A96" s="2">
        <v>52</v>
      </c>
      <c r="B96" s="2">
        <f aca="true" t="shared" si="32" ref="B96:G96">B103</f>
        <v>1</v>
      </c>
      <c r="C96" s="2">
        <f t="shared" si="32"/>
        <v>4</v>
      </c>
      <c r="D96" s="2">
        <f t="shared" si="32"/>
        <v>94</v>
      </c>
      <c r="E96" s="2">
        <f t="shared" si="32"/>
        <v>0</v>
      </c>
      <c r="F96" s="2" t="str">
        <f t="shared" si="32"/>
        <v>Новый раздел</v>
      </c>
      <c r="G96" s="2" t="str">
        <f t="shared" si="32"/>
        <v>Волхонка 8</v>
      </c>
      <c r="H96" s="2"/>
      <c r="I96" s="2"/>
      <c r="J96" s="2"/>
      <c r="K96" s="2"/>
      <c r="L96" s="2"/>
      <c r="M96" s="2"/>
      <c r="N96" s="2"/>
      <c r="O96" s="2">
        <f aca="true" t="shared" si="33" ref="O96:AT96">O103</f>
        <v>21082.24</v>
      </c>
      <c r="P96" s="2">
        <f t="shared" si="33"/>
        <v>194.01</v>
      </c>
      <c r="Q96" s="2">
        <f t="shared" si="33"/>
        <v>61.28</v>
      </c>
      <c r="R96" s="2">
        <f t="shared" si="33"/>
        <v>18.87</v>
      </c>
      <c r="S96" s="2">
        <f t="shared" si="33"/>
        <v>20826.95</v>
      </c>
      <c r="T96" s="2">
        <f t="shared" si="33"/>
        <v>0</v>
      </c>
      <c r="U96" s="2">
        <f t="shared" si="33"/>
        <v>98.2021877</v>
      </c>
      <c r="V96" s="2">
        <f t="shared" si="33"/>
        <v>0</v>
      </c>
      <c r="W96" s="2">
        <f t="shared" si="33"/>
        <v>0</v>
      </c>
      <c r="X96" s="2">
        <f t="shared" si="33"/>
        <v>16380.71</v>
      </c>
      <c r="Y96" s="2">
        <f t="shared" si="33"/>
        <v>9163.85</v>
      </c>
      <c r="Z96" s="2">
        <f t="shared" si="33"/>
        <v>0</v>
      </c>
      <c r="AA96" s="2">
        <f t="shared" si="33"/>
        <v>0</v>
      </c>
      <c r="AB96" s="2">
        <f t="shared" si="33"/>
        <v>21082.24</v>
      </c>
      <c r="AC96" s="2">
        <f t="shared" si="33"/>
        <v>194.01</v>
      </c>
      <c r="AD96" s="2">
        <f t="shared" si="33"/>
        <v>61.28</v>
      </c>
      <c r="AE96" s="2">
        <f t="shared" si="33"/>
        <v>18.87</v>
      </c>
      <c r="AF96" s="2">
        <f t="shared" si="33"/>
        <v>20826.95</v>
      </c>
      <c r="AG96" s="2">
        <f t="shared" si="33"/>
        <v>0</v>
      </c>
      <c r="AH96" s="2">
        <f t="shared" si="33"/>
        <v>98.2021877</v>
      </c>
      <c r="AI96" s="2">
        <f t="shared" si="33"/>
        <v>0</v>
      </c>
      <c r="AJ96" s="2">
        <f t="shared" si="33"/>
        <v>0</v>
      </c>
      <c r="AK96" s="2">
        <f t="shared" si="33"/>
        <v>16380.71</v>
      </c>
      <c r="AL96" s="2">
        <f t="shared" si="33"/>
        <v>9163.85</v>
      </c>
      <c r="AM96" s="2">
        <f t="shared" si="33"/>
        <v>0</v>
      </c>
      <c r="AN96" s="2">
        <f t="shared" si="33"/>
        <v>0</v>
      </c>
      <c r="AO96" s="2">
        <f t="shared" si="33"/>
        <v>0</v>
      </c>
      <c r="AP96" s="2">
        <f t="shared" si="33"/>
        <v>0</v>
      </c>
      <c r="AQ96" s="2">
        <f t="shared" si="33"/>
        <v>0</v>
      </c>
      <c r="AR96" s="2">
        <f t="shared" si="33"/>
        <v>46658.69</v>
      </c>
      <c r="AS96" s="2">
        <f t="shared" si="33"/>
        <v>46658.69</v>
      </c>
      <c r="AT96" s="2">
        <f t="shared" si="33"/>
        <v>0</v>
      </c>
      <c r="AU96" s="2">
        <f aca="true" t="shared" si="34" ref="AU96:BZ96">AU103</f>
        <v>0</v>
      </c>
      <c r="AV96" s="2">
        <f t="shared" si="34"/>
        <v>194.01</v>
      </c>
      <c r="AW96" s="2">
        <f t="shared" si="34"/>
        <v>194.01</v>
      </c>
      <c r="AX96" s="2">
        <f t="shared" si="34"/>
        <v>0</v>
      </c>
      <c r="AY96" s="2">
        <f t="shared" si="34"/>
        <v>194.01</v>
      </c>
      <c r="AZ96" s="2">
        <f t="shared" si="34"/>
        <v>0</v>
      </c>
      <c r="BA96" s="2">
        <f t="shared" si="34"/>
        <v>0</v>
      </c>
      <c r="BB96" s="2">
        <f t="shared" si="34"/>
        <v>0</v>
      </c>
      <c r="BC96" s="2">
        <f t="shared" si="34"/>
        <v>0</v>
      </c>
      <c r="BD96" s="2">
        <f t="shared" si="34"/>
        <v>0</v>
      </c>
      <c r="BE96" s="2">
        <f t="shared" si="34"/>
        <v>46658.69</v>
      </c>
      <c r="BF96" s="2">
        <f t="shared" si="34"/>
        <v>46658.69</v>
      </c>
      <c r="BG96" s="2">
        <f t="shared" si="34"/>
        <v>0</v>
      </c>
      <c r="BH96" s="2">
        <f t="shared" si="34"/>
        <v>0</v>
      </c>
      <c r="BI96" s="2">
        <f t="shared" si="34"/>
        <v>194.01</v>
      </c>
      <c r="BJ96" s="2">
        <f t="shared" si="34"/>
        <v>194.01</v>
      </c>
      <c r="BK96" s="2">
        <f t="shared" si="34"/>
        <v>0</v>
      </c>
      <c r="BL96" s="2">
        <f t="shared" si="34"/>
        <v>194.01</v>
      </c>
      <c r="BM96" s="2">
        <f t="shared" si="34"/>
        <v>0</v>
      </c>
      <c r="BN96" s="2">
        <f t="shared" si="34"/>
        <v>0</v>
      </c>
      <c r="BO96" s="3">
        <f t="shared" si="34"/>
        <v>0</v>
      </c>
      <c r="BP96" s="3">
        <f t="shared" si="34"/>
        <v>0</v>
      </c>
      <c r="BQ96" s="3">
        <f t="shared" si="34"/>
        <v>0</v>
      </c>
      <c r="BR96" s="3">
        <f t="shared" si="34"/>
        <v>0</v>
      </c>
      <c r="BS96" s="3">
        <f t="shared" si="34"/>
        <v>0</v>
      </c>
      <c r="BT96" s="3">
        <f t="shared" si="34"/>
        <v>0</v>
      </c>
      <c r="BU96" s="3">
        <f t="shared" si="34"/>
        <v>0</v>
      </c>
      <c r="BV96" s="3">
        <f t="shared" si="34"/>
        <v>0</v>
      </c>
      <c r="BW96" s="3">
        <f t="shared" si="34"/>
        <v>0</v>
      </c>
      <c r="BX96" s="3">
        <f t="shared" si="34"/>
        <v>0</v>
      </c>
      <c r="BY96" s="3">
        <f t="shared" si="34"/>
        <v>0</v>
      </c>
      <c r="BZ96" s="3">
        <f t="shared" si="34"/>
        <v>0</v>
      </c>
      <c r="CA96" s="3">
        <f aca="true" t="shared" si="35" ref="CA96:DF96">CA103</f>
        <v>0</v>
      </c>
      <c r="CB96" s="3">
        <f t="shared" si="35"/>
        <v>0</v>
      </c>
      <c r="CC96" s="3">
        <f t="shared" si="35"/>
        <v>0</v>
      </c>
      <c r="CD96" s="3">
        <f t="shared" si="35"/>
        <v>0</v>
      </c>
      <c r="CE96" s="3">
        <f t="shared" si="35"/>
        <v>0</v>
      </c>
      <c r="CF96" s="3">
        <f t="shared" si="35"/>
        <v>0</v>
      </c>
      <c r="CG96" s="3">
        <f t="shared" si="35"/>
        <v>0</v>
      </c>
      <c r="CH96" s="3">
        <f t="shared" si="35"/>
        <v>0</v>
      </c>
      <c r="CI96" s="3">
        <f t="shared" si="35"/>
        <v>0</v>
      </c>
      <c r="CJ96" s="3">
        <f t="shared" si="35"/>
        <v>0</v>
      </c>
      <c r="CK96" s="3">
        <f t="shared" si="35"/>
        <v>0</v>
      </c>
      <c r="CL96" s="3">
        <f t="shared" si="35"/>
        <v>0</v>
      </c>
      <c r="CM96" s="3">
        <f t="shared" si="35"/>
        <v>0</v>
      </c>
      <c r="CN96" s="3">
        <f t="shared" si="35"/>
        <v>0</v>
      </c>
      <c r="CO96" s="3">
        <f t="shared" si="35"/>
        <v>0</v>
      </c>
      <c r="CP96" s="3">
        <f t="shared" si="35"/>
        <v>0</v>
      </c>
      <c r="CQ96" s="3">
        <f t="shared" si="35"/>
        <v>0</v>
      </c>
      <c r="CR96" s="3">
        <f t="shared" si="35"/>
        <v>0</v>
      </c>
      <c r="CS96" s="3">
        <f t="shared" si="35"/>
        <v>0</v>
      </c>
      <c r="CT96" s="3">
        <f t="shared" si="35"/>
        <v>0</v>
      </c>
      <c r="CU96" s="3">
        <f t="shared" si="35"/>
        <v>0</v>
      </c>
      <c r="CV96" s="3">
        <f t="shared" si="35"/>
        <v>0</v>
      </c>
      <c r="CW96" s="3">
        <f t="shared" si="35"/>
        <v>0</v>
      </c>
      <c r="CX96" s="3">
        <f t="shared" si="35"/>
        <v>0</v>
      </c>
      <c r="CY96" s="3">
        <f t="shared" si="35"/>
        <v>0</v>
      </c>
      <c r="CZ96" s="3">
        <f t="shared" si="35"/>
        <v>0</v>
      </c>
      <c r="DA96" s="3">
        <f t="shared" si="35"/>
        <v>0</v>
      </c>
      <c r="DB96" s="3">
        <f t="shared" si="35"/>
        <v>0</v>
      </c>
      <c r="DC96" s="3">
        <f t="shared" si="35"/>
        <v>0</v>
      </c>
      <c r="DD96" s="3">
        <f t="shared" si="35"/>
        <v>0</v>
      </c>
      <c r="DE96" s="3">
        <f t="shared" si="35"/>
        <v>0</v>
      </c>
      <c r="DF96" s="3">
        <f t="shared" si="35"/>
        <v>0</v>
      </c>
      <c r="DG96" s="3">
        <f aca="true" t="shared" si="36" ref="DG96:DN96">DG103</f>
        <v>0</v>
      </c>
      <c r="DH96" s="3">
        <f t="shared" si="36"/>
        <v>0</v>
      </c>
      <c r="DI96" s="3">
        <f t="shared" si="36"/>
        <v>0</v>
      </c>
      <c r="DJ96" s="3">
        <f t="shared" si="36"/>
        <v>0</v>
      </c>
      <c r="DK96" s="3">
        <f t="shared" si="36"/>
        <v>0</v>
      </c>
      <c r="DL96" s="3">
        <f t="shared" si="36"/>
        <v>0</v>
      </c>
      <c r="DM96" s="3">
        <f t="shared" si="36"/>
        <v>0</v>
      </c>
      <c r="DN96" s="3">
        <f t="shared" si="36"/>
        <v>0</v>
      </c>
    </row>
    <row r="98" spans="1:200" ht="12.75">
      <c r="A98">
        <v>17</v>
      </c>
      <c r="B98">
        <v>1</v>
      </c>
      <c r="C98">
        <f>ROW(SmtRes!A16)</f>
        <v>16</v>
      </c>
      <c r="D98">
        <f>ROW(EtalonRes!A16)</f>
        <v>16</v>
      </c>
      <c r="E98" t="s">
        <v>87</v>
      </c>
      <c r="F98" t="s">
        <v>17</v>
      </c>
      <c r="G98" t="s">
        <v>18</v>
      </c>
      <c r="H98" t="s">
        <v>19</v>
      </c>
      <c r="I98">
        <v>6.157</v>
      </c>
      <c r="J98">
        <v>0</v>
      </c>
      <c r="O98">
        <f>ROUND(CP98,2)</f>
        <v>8461.85</v>
      </c>
      <c r="P98">
        <f>ROUND(CQ98*I98,2)</f>
        <v>194.01</v>
      </c>
      <c r="Q98">
        <f>ROUND(CR98*I98,2)</f>
        <v>1365.02</v>
      </c>
      <c r="R98">
        <f>ROUND(CS98*I98,2)</f>
        <v>420.24</v>
      </c>
      <c r="S98">
        <f>ROUND(CT98*I98,2)</f>
        <v>6902.82</v>
      </c>
      <c r="T98">
        <f>ROUND(CU98*I98,2)</f>
        <v>0</v>
      </c>
      <c r="U98">
        <f>CV98*I98</f>
        <v>40.61218769999999</v>
      </c>
      <c r="V98">
        <f>CW98*I98</f>
        <v>0</v>
      </c>
      <c r="W98">
        <f>ROUND(CX98*I98,2)</f>
        <v>0</v>
      </c>
      <c r="X98">
        <f aca="true" t="shared" si="37" ref="X98:Y101">ROUND(CY98,2)</f>
        <v>5798.37</v>
      </c>
      <c r="Y98">
        <f t="shared" si="37"/>
        <v>3037.24</v>
      </c>
      <c r="AA98">
        <v>24625873</v>
      </c>
      <c r="AB98">
        <f>ROUND((AC98+AD98+AF98),6)</f>
        <v>118.34</v>
      </c>
      <c r="AC98">
        <f aca="true" t="shared" si="38" ref="AC98:AF101">ROUND((ES98),6)</f>
        <v>10.2</v>
      </c>
      <c r="AD98">
        <f t="shared" si="38"/>
        <v>43.75</v>
      </c>
      <c r="AE98">
        <f t="shared" si="38"/>
        <v>3.92</v>
      </c>
      <c r="AF98">
        <f t="shared" si="38"/>
        <v>64.39</v>
      </c>
      <c r="AG98">
        <f>ROUND((AP98),6)</f>
        <v>0</v>
      </c>
      <c r="AH98">
        <f aca="true" t="shared" si="39" ref="AH98:AI101">(EW98)</f>
        <v>6.3</v>
      </c>
      <c r="AI98">
        <f t="shared" si="39"/>
        <v>0</v>
      </c>
      <c r="AJ98">
        <f>ROUND((AS98),6)</f>
        <v>0</v>
      </c>
      <c r="AK98">
        <v>118.34</v>
      </c>
      <c r="AL98">
        <v>10.2</v>
      </c>
      <c r="AM98">
        <v>43.75</v>
      </c>
      <c r="AN98">
        <v>3.92</v>
      </c>
      <c r="AO98">
        <v>64.39</v>
      </c>
      <c r="AP98">
        <v>0</v>
      </c>
      <c r="AQ98">
        <v>6.3</v>
      </c>
      <c r="AR98">
        <v>0</v>
      </c>
      <c r="AS98">
        <v>0</v>
      </c>
      <c r="AT98">
        <v>84</v>
      </c>
      <c r="AU98">
        <v>44</v>
      </c>
      <c r="AV98">
        <v>1.047</v>
      </c>
      <c r="AW98">
        <v>1.003</v>
      </c>
      <c r="AZ98">
        <v>1</v>
      </c>
      <c r="BA98">
        <v>16.63</v>
      </c>
      <c r="BB98">
        <v>4.84</v>
      </c>
      <c r="BC98">
        <v>3.08</v>
      </c>
      <c r="BH98">
        <v>0</v>
      </c>
      <c r="BI98">
        <v>1</v>
      </c>
      <c r="BJ98" t="s">
        <v>20</v>
      </c>
      <c r="BM98">
        <v>473</v>
      </c>
      <c r="BN98">
        <v>0</v>
      </c>
      <c r="BO98" t="s">
        <v>17</v>
      </c>
      <c r="BP98">
        <v>1</v>
      </c>
      <c r="BQ98">
        <v>60</v>
      </c>
      <c r="BR98">
        <v>0</v>
      </c>
      <c r="BS98">
        <v>16.63</v>
      </c>
      <c r="BT98">
        <v>1</v>
      </c>
      <c r="BU98">
        <v>1</v>
      </c>
      <c r="BV98">
        <v>1</v>
      </c>
      <c r="BW98">
        <v>1</v>
      </c>
      <c r="BX98">
        <v>1</v>
      </c>
      <c r="BZ98">
        <v>84</v>
      </c>
      <c r="CA98">
        <v>44</v>
      </c>
      <c r="CF98">
        <v>0</v>
      </c>
      <c r="CG98">
        <v>0</v>
      </c>
      <c r="CM98">
        <v>0</v>
      </c>
      <c r="CO98">
        <v>0</v>
      </c>
      <c r="CP98">
        <f>(P98+Q98+S98)</f>
        <v>8461.85</v>
      </c>
      <c r="CQ98">
        <f>(AC98*BC98*AW98)</f>
        <v>31.510247999999994</v>
      </c>
      <c r="CR98">
        <f>(AD98*BB98*AV98)</f>
        <v>221.70225</v>
      </c>
      <c r="CS98">
        <f>(AE98*BS98*AV98)</f>
        <v>68.25351119999999</v>
      </c>
      <c r="CT98">
        <f>(AF98*BA98*AV98)</f>
        <v>1121.1335679</v>
      </c>
      <c r="CU98">
        <f>AG98</f>
        <v>0</v>
      </c>
      <c r="CV98">
        <f>(AH98*AV98)</f>
        <v>6.596099999999999</v>
      </c>
      <c r="CW98">
        <f aca="true" t="shared" si="40" ref="CW98:CX101">AI98</f>
        <v>0</v>
      </c>
      <c r="CX98">
        <f t="shared" si="40"/>
        <v>0</v>
      </c>
      <c r="CY98">
        <f>S98*(BZ98/100)</f>
        <v>5798.368799999999</v>
      </c>
      <c r="CZ98">
        <f>S98*(CA98/100)</f>
        <v>3037.2408</v>
      </c>
      <c r="DN98">
        <v>100</v>
      </c>
      <c r="DO98">
        <v>64</v>
      </c>
      <c r="DP98">
        <v>1.047</v>
      </c>
      <c r="DQ98">
        <v>1.003</v>
      </c>
      <c r="DU98">
        <v>1005</v>
      </c>
      <c r="DV98" t="s">
        <v>19</v>
      </c>
      <c r="DW98" t="s">
        <v>19</v>
      </c>
      <c r="DX98">
        <v>100</v>
      </c>
      <c r="EE98">
        <v>28574798</v>
      </c>
      <c r="EF98">
        <v>60</v>
      </c>
      <c r="EG98" t="s">
        <v>21</v>
      </c>
      <c r="EH98">
        <v>0</v>
      </c>
      <c r="EJ98">
        <v>1</v>
      </c>
      <c r="EK98">
        <v>473</v>
      </c>
      <c r="EL98" t="s">
        <v>22</v>
      </c>
      <c r="EM98" t="s">
        <v>23</v>
      </c>
      <c r="EQ98">
        <v>0</v>
      </c>
      <c r="ER98">
        <v>118.34</v>
      </c>
      <c r="ES98">
        <v>10.2</v>
      </c>
      <c r="ET98">
        <v>43.75</v>
      </c>
      <c r="EU98">
        <v>3.92</v>
      </c>
      <c r="EV98">
        <v>64.39</v>
      </c>
      <c r="EW98">
        <v>6.3</v>
      </c>
      <c r="EX98">
        <v>0</v>
      </c>
      <c r="EY98">
        <v>0</v>
      </c>
      <c r="FQ98">
        <v>0</v>
      </c>
      <c r="FR98">
        <f>ROUND(IF(AND(BH98=3,BI98=3),P98,0),2)</f>
        <v>0</v>
      </c>
      <c r="FS98">
        <v>0</v>
      </c>
      <c r="FX98">
        <v>84</v>
      </c>
      <c r="FY98">
        <v>44</v>
      </c>
      <c r="GF98">
        <v>-1754515413</v>
      </c>
      <c r="GG98">
        <v>2</v>
      </c>
      <c r="GH98">
        <v>1</v>
      </c>
      <c r="GI98">
        <v>2</v>
      </c>
      <c r="GJ98">
        <v>0</v>
      </c>
      <c r="GK98">
        <f>ROUND(R98*(R12)/100,2)</f>
        <v>710.21</v>
      </c>
      <c r="GL98">
        <f>ROUND(IF(AND(BH98=3,BI98=3,FS98&lt;&gt;0),P98,0),2)</f>
        <v>0</v>
      </c>
      <c r="GM98">
        <f>O98+X98+Y98+GK98</f>
        <v>18007.67</v>
      </c>
      <c r="GN98">
        <f>ROUND(IF(OR(BI98=0,BI98=1),O98+X98+Y98+GK98,0),2)</f>
        <v>18007.67</v>
      </c>
      <c r="GO98">
        <f>ROUND(IF(BI98=2,O98+X98+Y98+GK98,0),2)</f>
        <v>0</v>
      </c>
      <c r="GP98">
        <f>ROUND(IF(BI98=4,O98+X98+Y98+GK98,0),2)</f>
        <v>0</v>
      </c>
      <c r="GR98">
        <v>0</v>
      </c>
    </row>
    <row r="99" spans="1:200" ht="12.75">
      <c r="A99">
        <v>17</v>
      </c>
      <c r="B99">
        <v>1</v>
      </c>
      <c r="E99" t="s">
        <v>16</v>
      </c>
      <c r="F99" t="s">
        <v>25</v>
      </c>
      <c r="G99" t="s">
        <v>26</v>
      </c>
      <c r="H99" t="s">
        <v>27</v>
      </c>
      <c r="I99">
        <v>-21.5495</v>
      </c>
      <c r="J99">
        <v>0</v>
      </c>
      <c r="O99">
        <f>ROUND(CP99,2)</f>
        <v>-1303.74</v>
      </c>
      <c r="P99">
        <f>ROUND(CQ99*I99,2)</f>
        <v>0</v>
      </c>
      <c r="Q99">
        <f>ROUND(CR99*I99,2)</f>
        <v>-1303.74</v>
      </c>
      <c r="R99">
        <f>ROUND(CS99*I99,2)</f>
        <v>-401.37</v>
      </c>
      <c r="S99">
        <f>ROUND(CT99*I99,2)</f>
        <v>0</v>
      </c>
      <c r="T99">
        <f>ROUND(CU99*I99,2)</f>
        <v>0</v>
      </c>
      <c r="U99">
        <f>CV99*I99</f>
        <v>0</v>
      </c>
      <c r="V99">
        <f>CW99*I99</f>
        <v>0</v>
      </c>
      <c r="W99">
        <f>ROUND(CX99*I99,2)</f>
        <v>0</v>
      </c>
      <c r="X99">
        <f t="shared" si="37"/>
        <v>0</v>
      </c>
      <c r="Y99">
        <f t="shared" si="37"/>
        <v>0</v>
      </c>
      <c r="AA99">
        <v>24625873</v>
      </c>
      <c r="AB99">
        <f>ROUND((AC99+AD99+AF99),6)</f>
        <v>12.5</v>
      </c>
      <c r="AC99">
        <f t="shared" si="38"/>
        <v>0</v>
      </c>
      <c r="AD99">
        <f t="shared" si="38"/>
        <v>12.5</v>
      </c>
      <c r="AE99">
        <f t="shared" si="38"/>
        <v>1.12</v>
      </c>
      <c r="AF99">
        <f t="shared" si="38"/>
        <v>0</v>
      </c>
      <c r="AG99">
        <f>ROUND((AP99),6)</f>
        <v>0</v>
      </c>
      <c r="AH99">
        <f t="shared" si="39"/>
        <v>0</v>
      </c>
      <c r="AI99">
        <f t="shared" si="39"/>
        <v>0</v>
      </c>
      <c r="AJ99">
        <f>ROUND((AS99),6)</f>
        <v>0</v>
      </c>
      <c r="AK99">
        <v>12.5</v>
      </c>
      <c r="AL99">
        <v>0</v>
      </c>
      <c r="AM99">
        <v>12.5</v>
      </c>
      <c r="AN99">
        <v>1.12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1</v>
      </c>
      <c r="AW99">
        <v>1</v>
      </c>
      <c r="AZ99">
        <v>1</v>
      </c>
      <c r="BA99">
        <v>1</v>
      </c>
      <c r="BB99">
        <v>4.84</v>
      </c>
      <c r="BC99">
        <v>1</v>
      </c>
      <c r="BH99">
        <v>2</v>
      </c>
      <c r="BI99">
        <v>1</v>
      </c>
      <c r="BJ99" t="s">
        <v>28</v>
      </c>
      <c r="BM99">
        <v>473</v>
      </c>
      <c r="BN99">
        <v>0</v>
      </c>
      <c r="BO99" t="s">
        <v>25</v>
      </c>
      <c r="BP99">
        <v>1</v>
      </c>
      <c r="BQ99">
        <v>60</v>
      </c>
      <c r="BR99">
        <v>1</v>
      </c>
      <c r="BS99">
        <v>16.63</v>
      </c>
      <c r="BT99">
        <v>1</v>
      </c>
      <c r="BU99">
        <v>1</v>
      </c>
      <c r="BV99">
        <v>1</v>
      </c>
      <c r="BW99">
        <v>1</v>
      </c>
      <c r="BX99">
        <v>1</v>
      </c>
      <c r="BZ99">
        <v>0</v>
      </c>
      <c r="CA99">
        <v>0</v>
      </c>
      <c r="CF99">
        <v>0</v>
      </c>
      <c r="CG99">
        <v>0</v>
      </c>
      <c r="CM99">
        <v>0</v>
      </c>
      <c r="CO99">
        <v>0</v>
      </c>
      <c r="CP99">
        <f>(P99+Q99+S99)</f>
        <v>-1303.74</v>
      </c>
      <c r="CQ99">
        <f>(AC99*BC99*AW99)</f>
        <v>0</v>
      </c>
      <c r="CR99">
        <f>(AD99*BB99*AV99)</f>
        <v>60.5</v>
      </c>
      <c r="CS99">
        <f>(AE99*BS99*AV99)</f>
        <v>18.625600000000002</v>
      </c>
      <c r="CT99">
        <f>(AF99*BA99*AV99)</f>
        <v>0</v>
      </c>
      <c r="CU99">
        <f>AG99</f>
        <v>0</v>
      </c>
      <c r="CV99">
        <f>(AH99*AV99)</f>
        <v>0</v>
      </c>
      <c r="CW99">
        <f t="shared" si="40"/>
        <v>0</v>
      </c>
      <c r="CX99">
        <f t="shared" si="40"/>
        <v>0</v>
      </c>
      <c r="CY99">
        <f>S99*(BZ99/100)</f>
        <v>0</v>
      </c>
      <c r="CZ99">
        <f>S99*(CA99/100)</f>
        <v>0</v>
      </c>
      <c r="DN99">
        <v>100</v>
      </c>
      <c r="DO99">
        <v>64</v>
      </c>
      <c r="DP99">
        <v>1.047</v>
      </c>
      <c r="DQ99">
        <v>1.003</v>
      </c>
      <c r="DU99">
        <v>1011</v>
      </c>
      <c r="DV99" t="s">
        <v>27</v>
      </c>
      <c r="DW99" t="s">
        <v>27</v>
      </c>
      <c r="DX99">
        <v>1</v>
      </c>
      <c r="EE99">
        <v>28574798</v>
      </c>
      <c r="EF99">
        <v>60</v>
      </c>
      <c r="EG99" t="s">
        <v>21</v>
      </c>
      <c r="EH99">
        <v>0</v>
      </c>
      <c r="EJ99">
        <v>1</v>
      </c>
      <c r="EK99">
        <v>473</v>
      </c>
      <c r="EL99" t="s">
        <v>22</v>
      </c>
      <c r="EM99" t="s">
        <v>23</v>
      </c>
      <c r="EQ99">
        <v>32768</v>
      </c>
      <c r="ER99">
        <v>12.5</v>
      </c>
      <c r="ES99">
        <v>0</v>
      </c>
      <c r="ET99">
        <v>12.5</v>
      </c>
      <c r="EU99">
        <v>1.12</v>
      </c>
      <c r="EV99">
        <v>0</v>
      </c>
      <c r="EW99">
        <v>0</v>
      </c>
      <c r="EX99">
        <v>0</v>
      </c>
      <c r="EY99">
        <v>0</v>
      </c>
      <c r="FQ99">
        <v>0</v>
      </c>
      <c r="FR99">
        <f>ROUND(IF(AND(BH99=3,BI99=3),P99,0),2)</f>
        <v>0</v>
      </c>
      <c r="FS99">
        <v>0</v>
      </c>
      <c r="FX99">
        <v>0</v>
      </c>
      <c r="FY99">
        <v>0</v>
      </c>
      <c r="GF99">
        <v>-1370831617</v>
      </c>
      <c r="GG99">
        <v>2</v>
      </c>
      <c r="GH99">
        <v>1</v>
      </c>
      <c r="GI99">
        <v>2</v>
      </c>
      <c r="GJ99">
        <v>0</v>
      </c>
      <c r="GK99">
        <f>ROUND(R99*(R12)/100,2)</f>
        <v>-678.32</v>
      </c>
      <c r="GL99">
        <f>ROUND(IF(AND(BH99=3,BI99=3,FS99&lt;&gt;0),P99,0),2)</f>
        <v>0</v>
      </c>
      <c r="GM99">
        <f>O99+X99+Y99+GK99</f>
        <v>-1982.06</v>
      </c>
      <c r="GN99">
        <f>ROUND(IF(OR(BI99=0,BI99=1),O99+X99+Y99+GK99,0),2)</f>
        <v>-1982.06</v>
      </c>
      <c r="GO99">
        <f>ROUND(IF(BI99=2,O99+X99+Y99+GK99,0),2)</f>
        <v>0</v>
      </c>
      <c r="GP99">
        <f>ROUND(IF(BI99=4,O99+X99+Y99+GK99,0),2)</f>
        <v>0</v>
      </c>
      <c r="GR99">
        <v>0</v>
      </c>
    </row>
    <row r="100" spans="1:200" ht="12.75">
      <c r="A100">
        <v>17</v>
      </c>
      <c r="B100">
        <v>1</v>
      </c>
      <c r="C100">
        <f>ROW(SmtRes!A17)</f>
        <v>17</v>
      </c>
      <c r="D100">
        <f>ROW(EtalonRes!A17)</f>
        <v>17</v>
      </c>
      <c r="E100" t="s">
        <v>24</v>
      </c>
      <c r="F100" t="s">
        <v>30</v>
      </c>
      <c r="G100" t="s">
        <v>31</v>
      </c>
      <c r="H100" t="s">
        <v>32</v>
      </c>
      <c r="I100">
        <v>3</v>
      </c>
      <c r="J100">
        <v>0</v>
      </c>
      <c r="O100">
        <f>ROUND(CP100,2)</f>
        <v>2705.53</v>
      </c>
      <c r="P100">
        <f>ROUND(CQ100*I100,2)</f>
        <v>0</v>
      </c>
      <c r="Q100">
        <f>ROUND(CR100*I100,2)</f>
        <v>0</v>
      </c>
      <c r="R100">
        <f>ROUND(CS100*I100,2)</f>
        <v>0</v>
      </c>
      <c r="S100">
        <f>ROUND(CT100*I100,2)</f>
        <v>2705.53</v>
      </c>
      <c r="T100">
        <f>ROUND(CU100*I100,2)</f>
        <v>0</v>
      </c>
      <c r="U100">
        <f>CV100*I100</f>
        <v>11.19</v>
      </c>
      <c r="V100">
        <f>CW100*I100</f>
        <v>0</v>
      </c>
      <c r="W100">
        <f>ROUND(CX100*I100,2)</f>
        <v>0</v>
      </c>
      <c r="X100">
        <f t="shared" si="37"/>
        <v>2056.2</v>
      </c>
      <c r="Y100">
        <f t="shared" si="37"/>
        <v>1190.43</v>
      </c>
      <c r="AA100">
        <v>24625873</v>
      </c>
      <c r="AB100">
        <f>ROUND((AC100+AD100+AF100),6)</f>
        <v>54.23</v>
      </c>
      <c r="AC100">
        <f t="shared" si="38"/>
        <v>0</v>
      </c>
      <c r="AD100">
        <f t="shared" si="38"/>
        <v>0</v>
      </c>
      <c r="AE100">
        <f t="shared" si="38"/>
        <v>0</v>
      </c>
      <c r="AF100">
        <f t="shared" si="38"/>
        <v>54.23</v>
      </c>
      <c r="AG100">
        <f>ROUND((AP100),6)</f>
        <v>0</v>
      </c>
      <c r="AH100">
        <f t="shared" si="39"/>
        <v>3.73</v>
      </c>
      <c r="AI100">
        <f t="shared" si="39"/>
        <v>0</v>
      </c>
      <c r="AJ100">
        <f>ROUND((AS100),6)</f>
        <v>0</v>
      </c>
      <c r="AK100">
        <v>54.23</v>
      </c>
      <c r="AL100">
        <v>0</v>
      </c>
      <c r="AM100">
        <v>0</v>
      </c>
      <c r="AN100">
        <v>0</v>
      </c>
      <c r="AO100">
        <v>54.23</v>
      </c>
      <c r="AP100">
        <v>0</v>
      </c>
      <c r="AQ100">
        <v>3.73</v>
      </c>
      <c r="AR100">
        <v>0</v>
      </c>
      <c r="AS100">
        <v>0</v>
      </c>
      <c r="AT100">
        <v>76</v>
      </c>
      <c r="AU100">
        <v>44</v>
      </c>
      <c r="AV100">
        <v>1</v>
      </c>
      <c r="AW100">
        <v>1</v>
      </c>
      <c r="AZ100">
        <v>1</v>
      </c>
      <c r="BA100">
        <v>16.63</v>
      </c>
      <c r="BB100">
        <v>1</v>
      </c>
      <c r="BC100">
        <v>1</v>
      </c>
      <c r="BH100">
        <v>0</v>
      </c>
      <c r="BI100">
        <v>1</v>
      </c>
      <c r="BJ100" t="s">
        <v>33</v>
      </c>
      <c r="BM100">
        <v>682</v>
      </c>
      <c r="BN100">
        <v>0</v>
      </c>
      <c r="BO100" t="s">
        <v>30</v>
      </c>
      <c r="BP100">
        <v>1</v>
      </c>
      <c r="BQ100">
        <v>60</v>
      </c>
      <c r="BR100">
        <v>0</v>
      </c>
      <c r="BS100">
        <v>16.63</v>
      </c>
      <c r="BT100">
        <v>1</v>
      </c>
      <c r="BU100">
        <v>1</v>
      </c>
      <c r="BV100">
        <v>1</v>
      </c>
      <c r="BW100">
        <v>1</v>
      </c>
      <c r="BX100">
        <v>1</v>
      </c>
      <c r="BZ100">
        <v>76</v>
      </c>
      <c r="CA100">
        <v>44</v>
      </c>
      <c r="CF100">
        <v>0</v>
      </c>
      <c r="CG100">
        <v>0</v>
      </c>
      <c r="CM100">
        <v>0</v>
      </c>
      <c r="CO100">
        <v>0</v>
      </c>
      <c r="CP100">
        <f>(P100+Q100+S100)</f>
        <v>2705.53</v>
      </c>
      <c r="CQ100">
        <f>(AC100*BC100*AW100)</f>
        <v>0</v>
      </c>
      <c r="CR100">
        <f>(AD100*BB100*AV100)</f>
        <v>0</v>
      </c>
      <c r="CS100">
        <f>(AE100*BS100*AV100)</f>
        <v>0</v>
      </c>
      <c r="CT100">
        <f>(AF100*BA100*AV100)</f>
        <v>901.8448999999999</v>
      </c>
      <c r="CU100">
        <f>AG100</f>
        <v>0</v>
      </c>
      <c r="CV100">
        <f>(AH100*AV100)</f>
        <v>3.73</v>
      </c>
      <c r="CW100">
        <f t="shared" si="40"/>
        <v>0</v>
      </c>
      <c r="CX100">
        <f t="shared" si="40"/>
        <v>0</v>
      </c>
      <c r="CY100">
        <f>S100*(BZ100/100)</f>
        <v>2056.2028</v>
      </c>
      <c r="CZ100">
        <f>S100*(CA100/100)</f>
        <v>1190.4332000000002</v>
      </c>
      <c r="DN100">
        <v>91</v>
      </c>
      <c r="DO100">
        <v>70</v>
      </c>
      <c r="DP100">
        <v>1.047</v>
      </c>
      <c r="DQ100">
        <v>1.002</v>
      </c>
      <c r="DU100">
        <v>1010</v>
      </c>
      <c r="DV100" t="s">
        <v>32</v>
      </c>
      <c r="DW100" t="s">
        <v>32</v>
      </c>
      <c r="DX100">
        <v>1</v>
      </c>
      <c r="EE100">
        <v>28575007</v>
      </c>
      <c r="EF100">
        <v>60</v>
      </c>
      <c r="EG100" t="s">
        <v>21</v>
      </c>
      <c r="EH100">
        <v>0</v>
      </c>
      <c r="EJ100">
        <v>1</v>
      </c>
      <c r="EK100">
        <v>682</v>
      </c>
      <c r="EL100" t="s">
        <v>34</v>
      </c>
      <c r="EM100" t="s">
        <v>35</v>
      </c>
      <c r="EQ100">
        <v>0</v>
      </c>
      <c r="ER100">
        <v>54.23</v>
      </c>
      <c r="ES100">
        <v>0</v>
      </c>
      <c r="ET100">
        <v>0</v>
      </c>
      <c r="EU100">
        <v>0</v>
      </c>
      <c r="EV100">
        <v>54.23</v>
      </c>
      <c r="EW100">
        <v>3.73</v>
      </c>
      <c r="EX100">
        <v>0</v>
      </c>
      <c r="EY100">
        <v>0</v>
      </c>
      <c r="FQ100">
        <v>0</v>
      </c>
      <c r="FR100">
        <f>ROUND(IF(AND(BH100=3,BI100=3),P100,0),2)</f>
        <v>0</v>
      </c>
      <c r="FS100">
        <v>0</v>
      </c>
      <c r="FX100">
        <v>76</v>
      </c>
      <c r="FY100">
        <v>44</v>
      </c>
      <c r="GF100">
        <v>1661821205</v>
      </c>
      <c r="GG100">
        <v>2</v>
      </c>
      <c r="GH100">
        <v>1</v>
      </c>
      <c r="GI100">
        <v>2</v>
      </c>
      <c r="GJ100">
        <v>0</v>
      </c>
      <c r="GK100">
        <f>ROUND(R100*(R12)/100,2)</f>
        <v>0</v>
      </c>
      <c r="GL100">
        <f>ROUND(IF(AND(BH100=3,BI100=3,FS100&lt;&gt;0),P100,0),2)</f>
        <v>0</v>
      </c>
      <c r="GM100">
        <f>O100+X100+Y100+GK100</f>
        <v>5952.16</v>
      </c>
      <c r="GN100">
        <f>ROUND(IF(OR(BI100=0,BI100=1),O100+X100+Y100+GK100,0),2)</f>
        <v>5952.16</v>
      </c>
      <c r="GO100">
        <f>ROUND(IF(BI100=2,O100+X100+Y100+GK100,0),2)</f>
        <v>0</v>
      </c>
      <c r="GP100">
        <f>ROUND(IF(BI100=4,O100+X100+Y100+GK100,0),2)</f>
        <v>0</v>
      </c>
      <c r="GR100">
        <v>0</v>
      </c>
    </row>
    <row r="101" spans="1:200" ht="12.75">
      <c r="A101">
        <v>17</v>
      </c>
      <c r="B101">
        <v>1</v>
      </c>
      <c r="C101">
        <f>ROW(SmtRes!A18)</f>
        <v>18</v>
      </c>
      <c r="D101">
        <f>ROW(EtalonRes!A18)</f>
        <v>18</v>
      </c>
      <c r="E101" t="s">
        <v>88</v>
      </c>
      <c r="F101" t="s">
        <v>37</v>
      </c>
      <c r="G101" t="s">
        <v>38</v>
      </c>
      <c r="H101" t="s">
        <v>32</v>
      </c>
      <c r="I101">
        <v>20</v>
      </c>
      <c r="J101">
        <v>0</v>
      </c>
      <c r="O101">
        <f>ROUND(CP101,2)</f>
        <v>11218.6</v>
      </c>
      <c r="P101">
        <f>ROUND(CQ101*I101,2)</f>
        <v>0</v>
      </c>
      <c r="Q101">
        <f>ROUND(CR101*I101,2)</f>
        <v>0</v>
      </c>
      <c r="R101">
        <f>ROUND(CS101*I101,2)</f>
        <v>0</v>
      </c>
      <c r="S101">
        <f>ROUND(CT101*I101,2)</f>
        <v>11218.6</v>
      </c>
      <c r="T101">
        <f>ROUND(CU101*I101,2)</f>
        <v>0</v>
      </c>
      <c r="U101">
        <f>CV101*I101</f>
        <v>46.4</v>
      </c>
      <c r="V101">
        <f>CW101*I101</f>
        <v>0</v>
      </c>
      <c r="W101">
        <f>ROUND(CX101*I101,2)</f>
        <v>0</v>
      </c>
      <c r="X101">
        <f t="shared" si="37"/>
        <v>8526.14</v>
      </c>
      <c r="Y101">
        <f t="shared" si="37"/>
        <v>4936.18</v>
      </c>
      <c r="AA101">
        <v>24625873</v>
      </c>
      <c r="AB101">
        <f>ROUND((AC101+AD101+AF101),6)</f>
        <v>33.73</v>
      </c>
      <c r="AC101">
        <f t="shared" si="38"/>
        <v>0</v>
      </c>
      <c r="AD101">
        <f t="shared" si="38"/>
        <v>0</v>
      </c>
      <c r="AE101">
        <f t="shared" si="38"/>
        <v>0</v>
      </c>
      <c r="AF101">
        <f t="shared" si="38"/>
        <v>33.73</v>
      </c>
      <c r="AG101">
        <f>ROUND((AP101),6)</f>
        <v>0</v>
      </c>
      <c r="AH101">
        <f t="shared" si="39"/>
        <v>2.32</v>
      </c>
      <c r="AI101">
        <f t="shared" si="39"/>
        <v>0</v>
      </c>
      <c r="AJ101">
        <f>ROUND((AS101),6)</f>
        <v>0</v>
      </c>
      <c r="AK101">
        <v>33.73</v>
      </c>
      <c r="AL101">
        <v>0</v>
      </c>
      <c r="AM101">
        <v>0</v>
      </c>
      <c r="AN101">
        <v>0</v>
      </c>
      <c r="AO101">
        <v>33.73</v>
      </c>
      <c r="AP101">
        <v>0</v>
      </c>
      <c r="AQ101">
        <v>2.32</v>
      </c>
      <c r="AR101">
        <v>0</v>
      </c>
      <c r="AS101">
        <v>0</v>
      </c>
      <c r="AT101">
        <v>76</v>
      </c>
      <c r="AU101">
        <v>44</v>
      </c>
      <c r="AV101">
        <v>1</v>
      </c>
      <c r="AW101">
        <v>1</v>
      </c>
      <c r="AZ101">
        <v>1</v>
      </c>
      <c r="BA101">
        <v>16.63</v>
      </c>
      <c r="BB101">
        <v>1</v>
      </c>
      <c r="BC101">
        <v>1</v>
      </c>
      <c r="BH101">
        <v>0</v>
      </c>
      <c r="BI101">
        <v>1</v>
      </c>
      <c r="BJ101" t="s">
        <v>39</v>
      </c>
      <c r="BM101">
        <v>682</v>
      </c>
      <c r="BN101">
        <v>0</v>
      </c>
      <c r="BO101" t="s">
        <v>37</v>
      </c>
      <c r="BP101">
        <v>1</v>
      </c>
      <c r="BQ101">
        <v>60</v>
      </c>
      <c r="BR101">
        <v>0</v>
      </c>
      <c r="BS101">
        <v>16.63</v>
      </c>
      <c r="BT101">
        <v>1</v>
      </c>
      <c r="BU101">
        <v>1</v>
      </c>
      <c r="BV101">
        <v>1</v>
      </c>
      <c r="BW101">
        <v>1</v>
      </c>
      <c r="BX101">
        <v>1</v>
      </c>
      <c r="BZ101">
        <v>76</v>
      </c>
      <c r="CA101">
        <v>44</v>
      </c>
      <c r="CF101">
        <v>0</v>
      </c>
      <c r="CG101">
        <v>0</v>
      </c>
      <c r="CM101">
        <v>0</v>
      </c>
      <c r="CO101">
        <v>0</v>
      </c>
      <c r="CP101">
        <f>(P101+Q101+S101)</f>
        <v>11218.6</v>
      </c>
      <c r="CQ101">
        <f>(AC101*BC101*AW101)</f>
        <v>0</v>
      </c>
      <c r="CR101">
        <f>(AD101*BB101*AV101)</f>
        <v>0</v>
      </c>
      <c r="CS101">
        <f>(AE101*BS101*AV101)</f>
        <v>0</v>
      </c>
      <c r="CT101">
        <f>(AF101*BA101*AV101)</f>
        <v>560.9298999999999</v>
      </c>
      <c r="CU101">
        <f>AG101</f>
        <v>0</v>
      </c>
      <c r="CV101">
        <f>(AH101*AV101)</f>
        <v>2.32</v>
      </c>
      <c r="CW101">
        <f t="shared" si="40"/>
        <v>0</v>
      </c>
      <c r="CX101">
        <f t="shared" si="40"/>
        <v>0</v>
      </c>
      <c r="CY101">
        <f>S101*(BZ101/100)</f>
        <v>8526.136</v>
      </c>
      <c r="CZ101">
        <f>S101*(CA101/100)</f>
        <v>4936.184</v>
      </c>
      <c r="DN101">
        <v>91</v>
      </c>
      <c r="DO101">
        <v>70</v>
      </c>
      <c r="DP101">
        <v>1.047</v>
      </c>
      <c r="DQ101">
        <v>1.002</v>
      </c>
      <c r="DU101">
        <v>1010</v>
      </c>
      <c r="DV101" t="s">
        <v>32</v>
      </c>
      <c r="DW101" t="s">
        <v>32</v>
      </c>
      <c r="DX101">
        <v>1</v>
      </c>
      <c r="EE101">
        <v>28575007</v>
      </c>
      <c r="EF101">
        <v>60</v>
      </c>
      <c r="EG101" t="s">
        <v>21</v>
      </c>
      <c r="EH101">
        <v>0</v>
      </c>
      <c r="EJ101">
        <v>1</v>
      </c>
      <c r="EK101">
        <v>682</v>
      </c>
      <c r="EL101" t="s">
        <v>34</v>
      </c>
      <c r="EM101" t="s">
        <v>35</v>
      </c>
      <c r="EQ101">
        <v>0</v>
      </c>
      <c r="ER101">
        <v>33.73</v>
      </c>
      <c r="ES101">
        <v>0</v>
      </c>
      <c r="ET101">
        <v>0</v>
      </c>
      <c r="EU101">
        <v>0</v>
      </c>
      <c r="EV101">
        <v>33.73</v>
      </c>
      <c r="EW101">
        <v>2.32</v>
      </c>
      <c r="EX101">
        <v>0</v>
      </c>
      <c r="EY101">
        <v>0</v>
      </c>
      <c r="FQ101">
        <v>0</v>
      </c>
      <c r="FR101">
        <f>ROUND(IF(AND(BH101=3,BI101=3),P101,0),2)</f>
        <v>0</v>
      </c>
      <c r="FS101">
        <v>0</v>
      </c>
      <c r="FX101">
        <v>76</v>
      </c>
      <c r="FY101">
        <v>44</v>
      </c>
      <c r="GF101">
        <v>-325190519</v>
      </c>
      <c r="GG101">
        <v>2</v>
      </c>
      <c r="GH101">
        <v>1</v>
      </c>
      <c r="GI101">
        <v>2</v>
      </c>
      <c r="GJ101">
        <v>0</v>
      </c>
      <c r="GK101">
        <f>ROUND(R101*(R12)/100,2)</f>
        <v>0</v>
      </c>
      <c r="GL101">
        <f>ROUND(IF(AND(BH101=3,BI101=3,FS101&lt;&gt;0),P101,0),2)</f>
        <v>0</v>
      </c>
      <c r="GM101">
        <f>O101+X101+Y101+GK101</f>
        <v>24680.92</v>
      </c>
      <c r="GN101">
        <f>ROUND(IF(OR(BI101=0,BI101=1),O101+X101+Y101+GK101,0),2)</f>
        <v>24680.92</v>
      </c>
      <c r="GO101">
        <f>ROUND(IF(BI101=2,O101+X101+Y101+GK101,0),2)</f>
        <v>0</v>
      </c>
      <c r="GP101">
        <f>ROUND(IF(BI101=4,O101+X101+Y101+GK101,0),2)</f>
        <v>0</v>
      </c>
      <c r="GR101">
        <v>0</v>
      </c>
    </row>
    <row r="103" spans="1:118" ht="12.75">
      <c r="A103" s="2">
        <v>51</v>
      </c>
      <c r="B103" s="2">
        <f>B94</f>
        <v>1</v>
      </c>
      <c r="C103" s="2">
        <f>A94</f>
        <v>4</v>
      </c>
      <c r="D103" s="2">
        <f>ROW(A94)</f>
        <v>94</v>
      </c>
      <c r="E103" s="2"/>
      <c r="F103" s="2" t="str">
        <f>IF(F94&lt;&gt;"",F94,"")</f>
        <v>Новый раздел</v>
      </c>
      <c r="G103" s="2" t="str">
        <f>IF(G94&lt;&gt;"",G94,"")</f>
        <v>Волхонка 8</v>
      </c>
      <c r="H103" s="2"/>
      <c r="I103" s="2"/>
      <c r="J103" s="2"/>
      <c r="K103" s="2"/>
      <c r="L103" s="2"/>
      <c r="M103" s="2"/>
      <c r="N103" s="2"/>
      <c r="O103" s="2">
        <f aca="true" t="shared" si="41" ref="O103:T103">ROUND(AB103,2)</f>
        <v>21082.24</v>
      </c>
      <c r="P103" s="2">
        <f t="shared" si="41"/>
        <v>194.01</v>
      </c>
      <c r="Q103" s="2">
        <f t="shared" si="41"/>
        <v>61.28</v>
      </c>
      <c r="R103" s="2">
        <f t="shared" si="41"/>
        <v>18.87</v>
      </c>
      <c r="S103" s="2">
        <f t="shared" si="41"/>
        <v>20826.95</v>
      </c>
      <c r="T103" s="2">
        <f t="shared" si="41"/>
        <v>0</v>
      </c>
      <c r="U103" s="2">
        <f>AH103</f>
        <v>98.2021877</v>
      </c>
      <c r="V103" s="2">
        <f>AI103</f>
        <v>0</v>
      </c>
      <c r="W103" s="2">
        <f>ROUND(AJ103,2)</f>
        <v>0</v>
      </c>
      <c r="X103" s="2">
        <f>ROUND(AK103,2)</f>
        <v>16380.71</v>
      </c>
      <c r="Y103" s="2">
        <f>ROUND(AL103,2)</f>
        <v>9163.85</v>
      </c>
      <c r="Z103" s="2"/>
      <c r="AA103" s="2"/>
      <c r="AB103" s="2">
        <f>ROUND(SUMIF(AA98:AA101,"=24625873",O98:O101),2)</f>
        <v>21082.24</v>
      </c>
      <c r="AC103" s="2">
        <f>ROUND(SUMIF(AA98:AA101,"=24625873",P98:P101),2)</f>
        <v>194.01</v>
      </c>
      <c r="AD103" s="2">
        <f>ROUND(SUMIF(AA98:AA101,"=24625873",Q98:Q101),2)</f>
        <v>61.28</v>
      </c>
      <c r="AE103" s="2">
        <f>ROUND(SUMIF(AA98:AA101,"=24625873",R98:R101),2)</f>
        <v>18.87</v>
      </c>
      <c r="AF103" s="2">
        <f>ROUND(SUMIF(AA98:AA101,"=24625873",S98:S101),2)</f>
        <v>20826.95</v>
      </c>
      <c r="AG103" s="2">
        <f>ROUND(SUMIF(AA98:AA101,"=24625873",T98:T101),2)</f>
        <v>0</v>
      </c>
      <c r="AH103" s="2">
        <f>SUMIF(AA98:AA101,"=24625873",U98:U101)</f>
        <v>98.2021877</v>
      </c>
      <c r="AI103" s="2">
        <f>SUMIF(AA98:AA101,"=24625873",V98:V101)</f>
        <v>0</v>
      </c>
      <c r="AJ103" s="2">
        <f>ROUND(SUMIF(AA98:AA101,"=24625873",W98:W101),2)</f>
        <v>0</v>
      </c>
      <c r="AK103" s="2">
        <f>ROUND(SUMIF(AA98:AA101,"=24625873",X98:X101),2)</f>
        <v>16380.71</v>
      </c>
      <c r="AL103" s="2">
        <f>ROUND(SUMIF(AA98:AA101,"=24625873",Y98:Y101),2)</f>
        <v>9163.85</v>
      </c>
      <c r="AM103" s="2"/>
      <c r="AN103" s="2"/>
      <c r="AO103" s="2">
        <f aca="true" t="shared" si="42" ref="AO103:AZ103">ROUND(BB103,2)</f>
        <v>0</v>
      </c>
      <c r="AP103" s="2">
        <f t="shared" si="42"/>
        <v>0</v>
      </c>
      <c r="AQ103" s="2">
        <f t="shared" si="42"/>
        <v>0</v>
      </c>
      <c r="AR103" s="2">
        <f t="shared" si="42"/>
        <v>46658.69</v>
      </c>
      <c r="AS103" s="2">
        <f t="shared" si="42"/>
        <v>46658.69</v>
      </c>
      <c r="AT103" s="2">
        <f t="shared" si="42"/>
        <v>0</v>
      </c>
      <c r="AU103" s="2">
        <f t="shared" si="42"/>
        <v>0</v>
      </c>
      <c r="AV103" s="2">
        <f t="shared" si="42"/>
        <v>194.01</v>
      </c>
      <c r="AW103" s="2">
        <f t="shared" si="42"/>
        <v>194.01</v>
      </c>
      <c r="AX103" s="2">
        <f t="shared" si="42"/>
        <v>0</v>
      </c>
      <c r="AY103" s="2">
        <f t="shared" si="42"/>
        <v>194.01</v>
      </c>
      <c r="AZ103" s="2">
        <f t="shared" si="42"/>
        <v>0</v>
      </c>
      <c r="BA103" s="2"/>
      <c r="BB103" s="2">
        <f>ROUND(SUMIF(AA98:AA101,"=24625873",FQ98:FQ101),2)</f>
        <v>0</v>
      </c>
      <c r="BC103" s="2">
        <f>ROUND(SUMIF(AA98:AA101,"=24625873",FR98:FR101),2)</f>
        <v>0</v>
      </c>
      <c r="BD103" s="2">
        <f>ROUND(SUMIF(AA98:AA101,"=24625873",GL98:GL101),2)</f>
        <v>0</v>
      </c>
      <c r="BE103" s="2">
        <f>ROUND(SUMIF(AA98:AA101,"=24625873",GM98:GM101),2)</f>
        <v>46658.69</v>
      </c>
      <c r="BF103" s="2">
        <f>ROUND(SUMIF(AA98:AA101,"=24625873",GN98:GN101),2)</f>
        <v>46658.69</v>
      </c>
      <c r="BG103" s="2">
        <f>ROUND(SUMIF(AA98:AA101,"=24625873",GO98:GO101),2)</f>
        <v>0</v>
      </c>
      <c r="BH103" s="2">
        <f>ROUND(SUMIF(AA98:AA101,"=24625873",GP98:GP101),2)</f>
        <v>0</v>
      </c>
      <c r="BI103" s="2">
        <f>AC103-BB103</f>
        <v>194.01</v>
      </c>
      <c r="BJ103" s="2">
        <f>AC103-BC103</f>
        <v>194.01</v>
      </c>
      <c r="BK103" s="2">
        <f>BB103-BD103</f>
        <v>0</v>
      </c>
      <c r="BL103" s="2">
        <f>AC103-BB103-BC103+BD103</f>
        <v>194.01</v>
      </c>
      <c r="BM103" s="2">
        <f>BC103-BD103</f>
        <v>0</v>
      </c>
      <c r="BN103" s="2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>
        <v>0</v>
      </c>
    </row>
    <row r="105" spans="1:16" ht="12.75">
      <c r="A105" s="4">
        <v>50</v>
      </c>
      <c r="B105" s="4">
        <v>0</v>
      </c>
      <c r="C105" s="4">
        <v>0</v>
      </c>
      <c r="D105" s="4">
        <v>1</v>
      </c>
      <c r="E105" s="4">
        <v>201</v>
      </c>
      <c r="F105" s="4">
        <f>ROUND(Source!O103,O105)</f>
        <v>21082.24</v>
      </c>
      <c r="G105" s="4" t="s">
        <v>40</v>
      </c>
      <c r="H105" s="4" t="s">
        <v>41</v>
      </c>
      <c r="I105" s="4"/>
      <c r="J105" s="4"/>
      <c r="K105" s="4">
        <v>201</v>
      </c>
      <c r="L105" s="4">
        <v>1</v>
      </c>
      <c r="M105" s="4">
        <v>3</v>
      </c>
      <c r="N105" s="4" t="s">
        <v>3</v>
      </c>
      <c r="O105" s="4">
        <v>2</v>
      </c>
      <c r="P105" s="4"/>
    </row>
    <row r="106" spans="1:16" ht="12.75">
      <c r="A106" s="4">
        <v>50</v>
      </c>
      <c r="B106" s="4">
        <v>0</v>
      </c>
      <c r="C106" s="4">
        <v>0</v>
      </c>
      <c r="D106" s="4">
        <v>1</v>
      </c>
      <c r="E106" s="4">
        <v>202</v>
      </c>
      <c r="F106" s="4">
        <f>ROUND(Source!P103,O106)</f>
        <v>194.01</v>
      </c>
      <c r="G106" s="4" t="s">
        <v>42</v>
      </c>
      <c r="H106" s="4" t="s">
        <v>43</v>
      </c>
      <c r="I106" s="4"/>
      <c r="J106" s="4"/>
      <c r="K106" s="4">
        <v>202</v>
      </c>
      <c r="L106" s="4">
        <v>2</v>
      </c>
      <c r="M106" s="4">
        <v>3</v>
      </c>
      <c r="N106" s="4" t="s">
        <v>3</v>
      </c>
      <c r="O106" s="4">
        <v>2</v>
      </c>
      <c r="P106" s="4"/>
    </row>
    <row r="107" spans="1:16" ht="12.75">
      <c r="A107" s="4">
        <v>50</v>
      </c>
      <c r="B107" s="4">
        <v>0</v>
      </c>
      <c r="C107" s="4">
        <v>0</v>
      </c>
      <c r="D107" s="4">
        <v>1</v>
      </c>
      <c r="E107" s="4">
        <v>222</v>
      </c>
      <c r="F107" s="4">
        <f>ROUND(Source!AO103,O107)</f>
        <v>0</v>
      </c>
      <c r="G107" s="4" t="s">
        <v>44</v>
      </c>
      <c r="H107" s="4" t="s">
        <v>45</v>
      </c>
      <c r="I107" s="4"/>
      <c r="J107" s="4"/>
      <c r="K107" s="4">
        <v>222</v>
      </c>
      <c r="L107" s="4">
        <v>3</v>
      </c>
      <c r="M107" s="4">
        <v>3</v>
      </c>
      <c r="N107" s="4" t="s">
        <v>3</v>
      </c>
      <c r="O107" s="4">
        <v>2</v>
      </c>
      <c r="P107" s="4"/>
    </row>
    <row r="108" spans="1:16" ht="12.75">
      <c r="A108" s="4">
        <v>50</v>
      </c>
      <c r="B108" s="4">
        <v>0</v>
      </c>
      <c r="C108" s="4">
        <v>0</v>
      </c>
      <c r="D108" s="4">
        <v>1</v>
      </c>
      <c r="E108" s="4">
        <v>225</v>
      </c>
      <c r="F108" s="4">
        <f>ROUND(Source!AV103,O108)</f>
        <v>194.01</v>
      </c>
      <c r="G108" s="4" t="s">
        <v>46</v>
      </c>
      <c r="H108" s="4" t="s">
        <v>47</v>
      </c>
      <c r="I108" s="4"/>
      <c r="J108" s="4"/>
      <c r="K108" s="4">
        <v>225</v>
      </c>
      <c r="L108" s="4">
        <v>4</v>
      </c>
      <c r="M108" s="4">
        <v>3</v>
      </c>
      <c r="N108" s="4" t="s">
        <v>3</v>
      </c>
      <c r="O108" s="4">
        <v>2</v>
      </c>
      <c r="P108" s="4"/>
    </row>
    <row r="109" spans="1:16" ht="12.75">
      <c r="A109" s="4">
        <v>50</v>
      </c>
      <c r="B109" s="4">
        <v>0</v>
      </c>
      <c r="C109" s="4">
        <v>0</v>
      </c>
      <c r="D109" s="4">
        <v>1</v>
      </c>
      <c r="E109" s="4">
        <v>226</v>
      </c>
      <c r="F109" s="4">
        <f>ROUND(Source!AW103,O109)</f>
        <v>194.01</v>
      </c>
      <c r="G109" s="4" t="s">
        <v>48</v>
      </c>
      <c r="H109" s="4" t="s">
        <v>49</v>
      </c>
      <c r="I109" s="4"/>
      <c r="J109" s="4"/>
      <c r="K109" s="4">
        <v>226</v>
      </c>
      <c r="L109" s="4">
        <v>5</v>
      </c>
      <c r="M109" s="4">
        <v>3</v>
      </c>
      <c r="N109" s="4" t="s">
        <v>3</v>
      </c>
      <c r="O109" s="4">
        <v>2</v>
      </c>
      <c r="P109" s="4"/>
    </row>
    <row r="110" spans="1:16" ht="12.75">
      <c r="A110" s="4">
        <v>50</v>
      </c>
      <c r="B110" s="4">
        <v>0</v>
      </c>
      <c r="C110" s="4">
        <v>0</v>
      </c>
      <c r="D110" s="4">
        <v>1</v>
      </c>
      <c r="E110" s="4">
        <v>227</v>
      </c>
      <c r="F110" s="4">
        <f>ROUND(Source!AX103,O110)</f>
        <v>0</v>
      </c>
      <c r="G110" s="4" t="s">
        <v>50</v>
      </c>
      <c r="H110" s="4" t="s">
        <v>51</v>
      </c>
      <c r="I110" s="4"/>
      <c r="J110" s="4"/>
      <c r="K110" s="4">
        <v>227</v>
      </c>
      <c r="L110" s="4">
        <v>6</v>
      </c>
      <c r="M110" s="4">
        <v>3</v>
      </c>
      <c r="N110" s="4" t="s">
        <v>3</v>
      </c>
      <c r="O110" s="4">
        <v>2</v>
      </c>
      <c r="P110" s="4"/>
    </row>
    <row r="111" spans="1:16" ht="12.75">
      <c r="A111" s="4">
        <v>50</v>
      </c>
      <c r="B111" s="4">
        <v>0</v>
      </c>
      <c r="C111" s="4">
        <v>0</v>
      </c>
      <c r="D111" s="4">
        <v>1</v>
      </c>
      <c r="E111" s="4">
        <v>228</v>
      </c>
      <c r="F111" s="4">
        <f>ROUND(Source!AY103,O111)</f>
        <v>194.01</v>
      </c>
      <c r="G111" s="4" t="s">
        <v>52</v>
      </c>
      <c r="H111" s="4" t="s">
        <v>53</v>
      </c>
      <c r="I111" s="4"/>
      <c r="J111" s="4"/>
      <c r="K111" s="4">
        <v>228</v>
      </c>
      <c r="L111" s="4">
        <v>7</v>
      </c>
      <c r="M111" s="4">
        <v>3</v>
      </c>
      <c r="N111" s="4" t="s">
        <v>3</v>
      </c>
      <c r="O111" s="4">
        <v>2</v>
      </c>
      <c r="P111" s="4"/>
    </row>
    <row r="112" spans="1:16" ht="12.75">
      <c r="A112" s="4">
        <v>50</v>
      </c>
      <c r="B112" s="4">
        <v>0</v>
      </c>
      <c r="C112" s="4">
        <v>0</v>
      </c>
      <c r="D112" s="4">
        <v>1</v>
      </c>
      <c r="E112" s="4">
        <v>216</v>
      </c>
      <c r="F112" s="4">
        <f>ROUND(Source!AP103,O112)</f>
        <v>0</v>
      </c>
      <c r="G112" s="4" t="s">
        <v>54</v>
      </c>
      <c r="H112" s="4" t="s">
        <v>55</v>
      </c>
      <c r="I112" s="4"/>
      <c r="J112" s="4"/>
      <c r="K112" s="4">
        <v>216</v>
      </c>
      <c r="L112" s="4">
        <v>8</v>
      </c>
      <c r="M112" s="4">
        <v>3</v>
      </c>
      <c r="N112" s="4" t="s">
        <v>3</v>
      </c>
      <c r="O112" s="4">
        <v>2</v>
      </c>
      <c r="P112" s="4"/>
    </row>
    <row r="113" spans="1:16" ht="12.75">
      <c r="A113" s="4">
        <v>50</v>
      </c>
      <c r="B113" s="4">
        <v>0</v>
      </c>
      <c r="C113" s="4">
        <v>0</v>
      </c>
      <c r="D113" s="4">
        <v>1</v>
      </c>
      <c r="E113" s="4">
        <v>223</v>
      </c>
      <c r="F113" s="4">
        <f>ROUND(Source!AQ103,O113)</f>
        <v>0</v>
      </c>
      <c r="G113" s="4" t="s">
        <v>56</v>
      </c>
      <c r="H113" s="4" t="s">
        <v>57</v>
      </c>
      <c r="I113" s="4"/>
      <c r="J113" s="4"/>
      <c r="K113" s="4">
        <v>223</v>
      </c>
      <c r="L113" s="4">
        <v>9</v>
      </c>
      <c r="M113" s="4">
        <v>3</v>
      </c>
      <c r="N113" s="4" t="s">
        <v>3</v>
      </c>
      <c r="O113" s="4">
        <v>2</v>
      </c>
      <c r="P113" s="4"/>
    </row>
    <row r="114" spans="1:16" ht="12.75">
      <c r="A114" s="4">
        <v>50</v>
      </c>
      <c r="B114" s="4">
        <v>0</v>
      </c>
      <c r="C114" s="4">
        <v>0</v>
      </c>
      <c r="D114" s="4">
        <v>1</v>
      </c>
      <c r="E114" s="4">
        <v>229</v>
      </c>
      <c r="F114" s="4">
        <f>ROUND(Source!AZ103,O114)</f>
        <v>0</v>
      </c>
      <c r="G114" s="4" t="s">
        <v>58</v>
      </c>
      <c r="H114" s="4" t="s">
        <v>59</v>
      </c>
      <c r="I114" s="4"/>
      <c r="J114" s="4"/>
      <c r="K114" s="4">
        <v>229</v>
      </c>
      <c r="L114" s="4">
        <v>10</v>
      </c>
      <c r="M114" s="4">
        <v>3</v>
      </c>
      <c r="N114" s="4" t="s">
        <v>3</v>
      </c>
      <c r="O114" s="4">
        <v>2</v>
      </c>
      <c r="P114" s="4"/>
    </row>
    <row r="115" spans="1:16" ht="12.75">
      <c r="A115" s="4">
        <v>50</v>
      </c>
      <c r="B115" s="4">
        <v>0</v>
      </c>
      <c r="C115" s="4">
        <v>0</v>
      </c>
      <c r="D115" s="4">
        <v>1</v>
      </c>
      <c r="E115" s="4">
        <v>203</v>
      </c>
      <c r="F115" s="4">
        <f>ROUND(Source!Q103,O115)</f>
        <v>61.28</v>
      </c>
      <c r="G115" s="4" t="s">
        <v>60</v>
      </c>
      <c r="H115" s="4" t="s">
        <v>61</v>
      </c>
      <c r="I115" s="4"/>
      <c r="J115" s="4"/>
      <c r="K115" s="4">
        <v>203</v>
      </c>
      <c r="L115" s="4">
        <v>11</v>
      </c>
      <c r="M115" s="4">
        <v>3</v>
      </c>
      <c r="N115" s="4" t="s">
        <v>3</v>
      </c>
      <c r="O115" s="4">
        <v>2</v>
      </c>
      <c r="P115" s="4"/>
    </row>
    <row r="116" spans="1:16" ht="12.75">
      <c r="A116" s="4">
        <v>50</v>
      </c>
      <c r="B116" s="4">
        <v>0</v>
      </c>
      <c r="C116" s="4">
        <v>0</v>
      </c>
      <c r="D116" s="4">
        <v>1</v>
      </c>
      <c r="E116" s="4">
        <v>204</v>
      </c>
      <c r="F116" s="4">
        <f>ROUND(Source!R103,O116)</f>
        <v>18.87</v>
      </c>
      <c r="G116" s="4" t="s">
        <v>62</v>
      </c>
      <c r="H116" s="4" t="s">
        <v>63</v>
      </c>
      <c r="I116" s="4"/>
      <c r="J116" s="4"/>
      <c r="K116" s="4">
        <v>204</v>
      </c>
      <c r="L116" s="4">
        <v>12</v>
      </c>
      <c r="M116" s="4">
        <v>3</v>
      </c>
      <c r="N116" s="4" t="s">
        <v>3</v>
      </c>
      <c r="O116" s="4">
        <v>2</v>
      </c>
      <c r="P116" s="4"/>
    </row>
    <row r="117" spans="1:16" ht="12.75">
      <c r="A117" s="4">
        <v>50</v>
      </c>
      <c r="B117" s="4">
        <v>0</v>
      </c>
      <c r="C117" s="4">
        <v>0</v>
      </c>
      <c r="D117" s="4">
        <v>1</v>
      </c>
      <c r="E117" s="4">
        <v>205</v>
      </c>
      <c r="F117" s="4">
        <f>ROUND(Source!S103,O117)</f>
        <v>20826.95</v>
      </c>
      <c r="G117" s="4" t="s">
        <v>64</v>
      </c>
      <c r="H117" s="4" t="s">
        <v>65</v>
      </c>
      <c r="I117" s="4"/>
      <c r="J117" s="4"/>
      <c r="K117" s="4">
        <v>205</v>
      </c>
      <c r="L117" s="4">
        <v>13</v>
      </c>
      <c r="M117" s="4">
        <v>3</v>
      </c>
      <c r="N117" s="4" t="s">
        <v>3</v>
      </c>
      <c r="O117" s="4">
        <v>2</v>
      </c>
      <c r="P117" s="4"/>
    </row>
    <row r="118" spans="1:16" ht="12.75">
      <c r="A118" s="4">
        <v>50</v>
      </c>
      <c r="B118" s="4">
        <v>0</v>
      </c>
      <c r="C118" s="4">
        <v>0</v>
      </c>
      <c r="D118" s="4">
        <v>1</v>
      </c>
      <c r="E118" s="4">
        <v>214</v>
      </c>
      <c r="F118" s="4">
        <f>ROUND(Source!AS103,O118)</f>
        <v>46658.69</v>
      </c>
      <c r="G118" s="4" t="s">
        <v>66</v>
      </c>
      <c r="H118" s="4" t="s">
        <v>67</v>
      </c>
      <c r="I118" s="4"/>
      <c r="J118" s="4"/>
      <c r="K118" s="4">
        <v>214</v>
      </c>
      <c r="L118" s="4">
        <v>14</v>
      </c>
      <c r="M118" s="4">
        <v>3</v>
      </c>
      <c r="N118" s="4" t="s">
        <v>3</v>
      </c>
      <c r="O118" s="4">
        <v>2</v>
      </c>
      <c r="P118" s="4"/>
    </row>
    <row r="119" spans="1:16" ht="12.75">
      <c r="A119" s="4">
        <v>50</v>
      </c>
      <c r="B119" s="4">
        <v>0</v>
      </c>
      <c r="C119" s="4">
        <v>0</v>
      </c>
      <c r="D119" s="4">
        <v>1</v>
      </c>
      <c r="E119" s="4">
        <v>215</v>
      </c>
      <c r="F119" s="4">
        <f>ROUND(Source!AT103,O119)</f>
        <v>0</v>
      </c>
      <c r="G119" s="4" t="s">
        <v>68</v>
      </c>
      <c r="H119" s="4" t="s">
        <v>69</v>
      </c>
      <c r="I119" s="4"/>
      <c r="J119" s="4"/>
      <c r="K119" s="4">
        <v>215</v>
      </c>
      <c r="L119" s="4">
        <v>15</v>
      </c>
      <c r="M119" s="4">
        <v>3</v>
      </c>
      <c r="N119" s="4" t="s">
        <v>3</v>
      </c>
      <c r="O119" s="4">
        <v>2</v>
      </c>
      <c r="P119" s="4"/>
    </row>
    <row r="120" spans="1:16" ht="12.75">
      <c r="A120" s="4">
        <v>50</v>
      </c>
      <c r="B120" s="4">
        <v>0</v>
      </c>
      <c r="C120" s="4">
        <v>0</v>
      </c>
      <c r="D120" s="4">
        <v>1</v>
      </c>
      <c r="E120" s="4">
        <v>217</v>
      </c>
      <c r="F120" s="4">
        <f>ROUND(Source!AU103,O120)</f>
        <v>0</v>
      </c>
      <c r="G120" s="4" t="s">
        <v>70</v>
      </c>
      <c r="H120" s="4" t="s">
        <v>71</v>
      </c>
      <c r="I120" s="4"/>
      <c r="J120" s="4"/>
      <c r="K120" s="4">
        <v>217</v>
      </c>
      <c r="L120" s="4">
        <v>16</v>
      </c>
      <c r="M120" s="4">
        <v>3</v>
      </c>
      <c r="N120" s="4" t="s">
        <v>3</v>
      </c>
      <c r="O120" s="4">
        <v>2</v>
      </c>
      <c r="P120" s="4"/>
    </row>
    <row r="121" spans="1:16" ht="12.75">
      <c r="A121" s="4">
        <v>50</v>
      </c>
      <c r="B121" s="4">
        <v>0</v>
      </c>
      <c r="C121" s="4">
        <v>0</v>
      </c>
      <c r="D121" s="4">
        <v>1</v>
      </c>
      <c r="E121" s="4">
        <v>206</v>
      </c>
      <c r="F121" s="4">
        <f>ROUND(Source!T103,O121)</f>
        <v>0</v>
      </c>
      <c r="G121" s="4" t="s">
        <v>72</v>
      </c>
      <c r="H121" s="4" t="s">
        <v>73</v>
      </c>
      <c r="I121" s="4"/>
      <c r="J121" s="4"/>
      <c r="K121" s="4">
        <v>206</v>
      </c>
      <c r="L121" s="4">
        <v>17</v>
      </c>
      <c r="M121" s="4">
        <v>3</v>
      </c>
      <c r="N121" s="4" t="s">
        <v>3</v>
      </c>
      <c r="O121" s="4">
        <v>2</v>
      </c>
      <c r="P121" s="4"/>
    </row>
    <row r="122" spans="1:16" ht="12.75">
      <c r="A122" s="4">
        <v>50</v>
      </c>
      <c r="B122" s="4">
        <v>0</v>
      </c>
      <c r="C122" s="4">
        <v>0</v>
      </c>
      <c r="D122" s="4">
        <v>1</v>
      </c>
      <c r="E122" s="4">
        <v>207</v>
      </c>
      <c r="F122" s="4">
        <f>Source!U103</f>
        <v>98.2021877</v>
      </c>
      <c r="G122" s="4" t="s">
        <v>74</v>
      </c>
      <c r="H122" s="4" t="s">
        <v>75</v>
      </c>
      <c r="I122" s="4"/>
      <c r="J122" s="4"/>
      <c r="K122" s="4">
        <v>207</v>
      </c>
      <c r="L122" s="4">
        <v>18</v>
      </c>
      <c r="M122" s="4">
        <v>3</v>
      </c>
      <c r="N122" s="4" t="s">
        <v>3</v>
      </c>
      <c r="O122" s="4">
        <v>-1</v>
      </c>
      <c r="P122" s="4"/>
    </row>
    <row r="123" spans="1:16" ht="12.75">
      <c r="A123" s="4">
        <v>50</v>
      </c>
      <c r="B123" s="4">
        <v>0</v>
      </c>
      <c r="C123" s="4">
        <v>0</v>
      </c>
      <c r="D123" s="4">
        <v>1</v>
      </c>
      <c r="E123" s="4">
        <v>208</v>
      </c>
      <c r="F123" s="4">
        <f>Source!V103</f>
        <v>0</v>
      </c>
      <c r="G123" s="4" t="s">
        <v>76</v>
      </c>
      <c r="H123" s="4" t="s">
        <v>77</v>
      </c>
      <c r="I123" s="4"/>
      <c r="J123" s="4"/>
      <c r="K123" s="4">
        <v>208</v>
      </c>
      <c r="L123" s="4">
        <v>19</v>
      </c>
      <c r="M123" s="4">
        <v>3</v>
      </c>
      <c r="N123" s="4" t="s">
        <v>3</v>
      </c>
      <c r="O123" s="4">
        <v>-1</v>
      </c>
      <c r="P123" s="4"/>
    </row>
    <row r="124" spans="1:16" ht="12.75">
      <c r="A124" s="4">
        <v>50</v>
      </c>
      <c r="B124" s="4">
        <v>0</v>
      </c>
      <c r="C124" s="4">
        <v>0</v>
      </c>
      <c r="D124" s="4">
        <v>1</v>
      </c>
      <c r="E124" s="4">
        <v>209</v>
      </c>
      <c r="F124" s="4">
        <f>ROUND(Source!W103,O124)</f>
        <v>0</v>
      </c>
      <c r="G124" s="4" t="s">
        <v>78</v>
      </c>
      <c r="H124" s="4" t="s">
        <v>79</v>
      </c>
      <c r="I124" s="4"/>
      <c r="J124" s="4"/>
      <c r="K124" s="4">
        <v>209</v>
      </c>
      <c r="L124" s="4">
        <v>20</v>
      </c>
      <c r="M124" s="4">
        <v>3</v>
      </c>
      <c r="N124" s="4" t="s">
        <v>3</v>
      </c>
      <c r="O124" s="4">
        <v>2</v>
      </c>
      <c r="P124" s="4"/>
    </row>
    <row r="125" spans="1:16" ht="12.75">
      <c r="A125" s="4">
        <v>50</v>
      </c>
      <c r="B125" s="4">
        <v>0</v>
      </c>
      <c r="C125" s="4">
        <v>0</v>
      </c>
      <c r="D125" s="4">
        <v>1</v>
      </c>
      <c r="E125" s="4">
        <v>210</v>
      </c>
      <c r="F125" s="4">
        <f>ROUND(Source!X103,O125)</f>
        <v>16380.71</v>
      </c>
      <c r="G125" s="4" t="s">
        <v>80</v>
      </c>
      <c r="H125" s="4" t="s">
        <v>81</v>
      </c>
      <c r="I125" s="4"/>
      <c r="J125" s="4"/>
      <c r="K125" s="4">
        <v>210</v>
      </c>
      <c r="L125" s="4">
        <v>21</v>
      </c>
      <c r="M125" s="4">
        <v>3</v>
      </c>
      <c r="N125" s="4" t="s">
        <v>3</v>
      </c>
      <c r="O125" s="4">
        <v>2</v>
      </c>
      <c r="P125" s="4"/>
    </row>
    <row r="126" spans="1:16" ht="12.75">
      <c r="A126" s="4">
        <v>50</v>
      </c>
      <c r="B126" s="4">
        <v>0</v>
      </c>
      <c r="C126" s="4">
        <v>0</v>
      </c>
      <c r="D126" s="4">
        <v>1</v>
      </c>
      <c r="E126" s="4">
        <v>211</v>
      </c>
      <c r="F126" s="4">
        <f>ROUND(Source!Y103,O126)</f>
        <v>9163.85</v>
      </c>
      <c r="G126" s="4" t="s">
        <v>82</v>
      </c>
      <c r="H126" s="4" t="s">
        <v>83</v>
      </c>
      <c r="I126" s="4"/>
      <c r="J126" s="4"/>
      <c r="K126" s="4">
        <v>211</v>
      </c>
      <c r="L126" s="4">
        <v>22</v>
      </c>
      <c r="M126" s="4">
        <v>3</v>
      </c>
      <c r="N126" s="4" t="s">
        <v>3</v>
      </c>
      <c r="O126" s="4">
        <v>2</v>
      </c>
      <c r="P126" s="4"/>
    </row>
    <row r="127" spans="1:16" ht="12.75">
      <c r="A127" s="4">
        <v>50</v>
      </c>
      <c r="B127" s="4">
        <v>0</v>
      </c>
      <c r="C127" s="4">
        <v>0</v>
      </c>
      <c r="D127" s="4">
        <v>1</v>
      </c>
      <c r="E127" s="4">
        <v>224</v>
      </c>
      <c r="F127" s="4">
        <f>ROUND(Source!AR103,O127)</f>
        <v>46658.69</v>
      </c>
      <c r="G127" s="4" t="s">
        <v>84</v>
      </c>
      <c r="H127" s="4" t="s">
        <v>85</v>
      </c>
      <c r="I127" s="4"/>
      <c r="J127" s="4"/>
      <c r="K127" s="4">
        <v>224</v>
      </c>
      <c r="L127" s="4">
        <v>23</v>
      </c>
      <c r="M127" s="4">
        <v>3</v>
      </c>
      <c r="N127" s="4" t="s">
        <v>3</v>
      </c>
      <c r="O127" s="4">
        <v>2</v>
      </c>
      <c r="P127" s="4"/>
    </row>
    <row r="129" spans="1:118" ht="12.75">
      <c r="A129" s="2">
        <v>51</v>
      </c>
      <c r="B129" s="2">
        <f>B20</f>
        <v>1</v>
      </c>
      <c r="C129" s="2">
        <f>A20</f>
        <v>3</v>
      </c>
      <c r="D129" s="2">
        <f>ROW(A20)</f>
        <v>20</v>
      </c>
      <c r="E129" s="2"/>
      <c r="F129" s="2" t="str">
        <f>IF(F20&lt;&gt;"",F20,"")</f>
        <v>Новая локальная смета</v>
      </c>
      <c r="G129" s="2" t="str">
        <f>IF(G20&lt;&gt;"",G20,"")</f>
        <v>фасад</v>
      </c>
      <c r="H129" s="2"/>
      <c r="I129" s="2"/>
      <c r="J129" s="2"/>
      <c r="K129" s="2"/>
      <c r="L129" s="2"/>
      <c r="M129" s="2"/>
      <c r="N129" s="2"/>
      <c r="O129" s="2">
        <f aca="true" t="shared" si="43" ref="O129:T129">ROUND(O33+O68+O103+AB129,2)</f>
        <v>66039.69</v>
      </c>
      <c r="P129" s="2">
        <f t="shared" si="43"/>
        <v>551.31</v>
      </c>
      <c r="Q129" s="2">
        <f t="shared" si="43"/>
        <v>174.13</v>
      </c>
      <c r="R129" s="2">
        <f t="shared" si="43"/>
        <v>53.61</v>
      </c>
      <c r="S129" s="2">
        <f t="shared" si="43"/>
        <v>65314.25</v>
      </c>
      <c r="T129" s="2">
        <f t="shared" si="43"/>
        <v>0</v>
      </c>
      <c r="U129" s="2">
        <f>U33+U68+U103+AH129</f>
        <v>304.4153656</v>
      </c>
      <c r="V129" s="2">
        <f>V33+V68+V103+AI129</f>
        <v>0</v>
      </c>
      <c r="W129" s="2">
        <f>ROUND(W33+W68+W103+AJ129,2)</f>
        <v>0</v>
      </c>
      <c r="X129" s="2">
        <f>ROUND(X33+X68+X103+AK129,2)</f>
        <v>51208.05</v>
      </c>
      <c r="Y129" s="2">
        <f>ROUND(Y33+Y68+Y103+AL129,2)</f>
        <v>28738.26</v>
      </c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>
        <f aca="true" t="shared" si="44" ref="AO129:AZ129">ROUND(AO33+AO68+AO103+BB129,2)</f>
        <v>0</v>
      </c>
      <c r="AP129" s="2">
        <f t="shared" si="44"/>
        <v>0</v>
      </c>
      <c r="AQ129" s="2">
        <f t="shared" si="44"/>
        <v>0</v>
      </c>
      <c r="AR129" s="2">
        <f t="shared" si="44"/>
        <v>146076.6</v>
      </c>
      <c r="AS129" s="2">
        <f t="shared" si="44"/>
        <v>146076.6</v>
      </c>
      <c r="AT129" s="2">
        <f t="shared" si="44"/>
        <v>0</v>
      </c>
      <c r="AU129" s="2">
        <f t="shared" si="44"/>
        <v>0</v>
      </c>
      <c r="AV129" s="2">
        <f t="shared" si="44"/>
        <v>551.31</v>
      </c>
      <c r="AW129" s="2">
        <f t="shared" si="44"/>
        <v>551.31</v>
      </c>
      <c r="AX129" s="2">
        <f t="shared" si="44"/>
        <v>0</v>
      </c>
      <c r="AY129" s="2">
        <f t="shared" si="44"/>
        <v>551.31</v>
      </c>
      <c r="AZ129" s="2">
        <f t="shared" si="44"/>
        <v>0</v>
      </c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>
        <v>0</v>
      </c>
    </row>
    <row r="131" spans="1:16" ht="12.75">
      <c r="A131" s="4">
        <v>50</v>
      </c>
      <c r="B131" s="4">
        <v>0</v>
      </c>
      <c r="C131" s="4">
        <v>0</v>
      </c>
      <c r="D131" s="4">
        <v>1</v>
      </c>
      <c r="E131" s="4">
        <v>201</v>
      </c>
      <c r="F131" s="4">
        <f>ROUND(Source!O129,O131)</f>
        <v>66039.69</v>
      </c>
      <c r="G131" s="4" t="s">
        <v>40</v>
      </c>
      <c r="H131" s="4" t="s">
        <v>41</v>
      </c>
      <c r="I131" s="4"/>
      <c r="J131" s="4"/>
      <c r="K131" s="4">
        <v>201</v>
      </c>
      <c r="L131" s="4">
        <v>1</v>
      </c>
      <c r="M131" s="4">
        <v>3</v>
      </c>
      <c r="N131" s="4" t="s">
        <v>3</v>
      </c>
      <c r="O131" s="4">
        <v>2</v>
      </c>
      <c r="P131" s="4"/>
    </row>
    <row r="132" spans="1:16" ht="12.75">
      <c r="A132" s="4">
        <v>50</v>
      </c>
      <c r="B132" s="4">
        <v>0</v>
      </c>
      <c r="C132" s="4">
        <v>0</v>
      </c>
      <c r="D132" s="4">
        <v>1</v>
      </c>
      <c r="E132" s="4">
        <v>202</v>
      </c>
      <c r="F132" s="4">
        <f>ROUND(Source!P129,O132)</f>
        <v>551.31</v>
      </c>
      <c r="G132" s="4" t="s">
        <v>42</v>
      </c>
      <c r="H132" s="4" t="s">
        <v>43</v>
      </c>
      <c r="I132" s="4"/>
      <c r="J132" s="4"/>
      <c r="K132" s="4">
        <v>202</v>
      </c>
      <c r="L132" s="4">
        <v>2</v>
      </c>
      <c r="M132" s="4">
        <v>3</v>
      </c>
      <c r="N132" s="4" t="s">
        <v>3</v>
      </c>
      <c r="O132" s="4">
        <v>2</v>
      </c>
      <c r="P132" s="4"/>
    </row>
    <row r="133" spans="1:16" ht="12.75">
      <c r="A133" s="4">
        <v>50</v>
      </c>
      <c r="B133" s="4">
        <v>0</v>
      </c>
      <c r="C133" s="4">
        <v>0</v>
      </c>
      <c r="D133" s="4">
        <v>1</v>
      </c>
      <c r="E133" s="4">
        <v>222</v>
      </c>
      <c r="F133" s="4">
        <f>ROUND(Source!AO129,O133)</f>
        <v>0</v>
      </c>
      <c r="G133" s="4" t="s">
        <v>44</v>
      </c>
      <c r="H133" s="4" t="s">
        <v>45</v>
      </c>
      <c r="I133" s="4"/>
      <c r="J133" s="4"/>
      <c r="K133" s="4">
        <v>222</v>
      </c>
      <c r="L133" s="4">
        <v>3</v>
      </c>
      <c r="M133" s="4">
        <v>3</v>
      </c>
      <c r="N133" s="4" t="s">
        <v>3</v>
      </c>
      <c r="O133" s="4">
        <v>2</v>
      </c>
      <c r="P133" s="4"/>
    </row>
    <row r="134" spans="1:16" ht="12.75">
      <c r="A134" s="4">
        <v>50</v>
      </c>
      <c r="B134" s="4">
        <v>0</v>
      </c>
      <c r="C134" s="4">
        <v>0</v>
      </c>
      <c r="D134" s="4">
        <v>1</v>
      </c>
      <c r="E134" s="4">
        <v>225</v>
      </c>
      <c r="F134" s="4">
        <f>ROUND(Source!AV129,O134)</f>
        <v>551.31</v>
      </c>
      <c r="G134" s="4" t="s">
        <v>46</v>
      </c>
      <c r="H134" s="4" t="s">
        <v>47</v>
      </c>
      <c r="I134" s="4"/>
      <c r="J134" s="4"/>
      <c r="K134" s="4">
        <v>225</v>
      </c>
      <c r="L134" s="4">
        <v>4</v>
      </c>
      <c r="M134" s="4">
        <v>3</v>
      </c>
      <c r="N134" s="4" t="s">
        <v>3</v>
      </c>
      <c r="O134" s="4">
        <v>2</v>
      </c>
      <c r="P134" s="4"/>
    </row>
    <row r="135" spans="1:16" ht="12.75">
      <c r="A135" s="4">
        <v>50</v>
      </c>
      <c r="B135" s="4">
        <v>0</v>
      </c>
      <c r="C135" s="4">
        <v>0</v>
      </c>
      <c r="D135" s="4">
        <v>1</v>
      </c>
      <c r="E135" s="4">
        <v>226</v>
      </c>
      <c r="F135" s="4">
        <f>ROUND(Source!AW129,O135)</f>
        <v>551.31</v>
      </c>
      <c r="G135" s="4" t="s">
        <v>48</v>
      </c>
      <c r="H135" s="4" t="s">
        <v>49</v>
      </c>
      <c r="I135" s="4"/>
      <c r="J135" s="4"/>
      <c r="K135" s="4">
        <v>226</v>
      </c>
      <c r="L135" s="4">
        <v>5</v>
      </c>
      <c r="M135" s="4">
        <v>3</v>
      </c>
      <c r="N135" s="4" t="s">
        <v>3</v>
      </c>
      <c r="O135" s="4">
        <v>2</v>
      </c>
      <c r="P135" s="4"/>
    </row>
    <row r="136" spans="1:16" ht="12.75">
      <c r="A136" s="4">
        <v>50</v>
      </c>
      <c r="B136" s="4">
        <v>0</v>
      </c>
      <c r="C136" s="4">
        <v>0</v>
      </c>
      <c r="D136" s="4">
        <v>1</v>
      </c>
      <c r="E136" s="4">
        <v>227</v>
      </c>
      <c r="F136" s="4">
        <f>ROUND(Source!AX129,O136)</f>
        <v>0</v>
      </c>
      <c r="G136" s="4" t="s">
        <v>50</v>
      </c>
      <c r="H136" s="4" t="s">
        <v>51</v>
      </c>
      <c r="I136" s="4"/>
      <c r="J136" s="4"/>
      <c r="K136" s="4">
        <v>227</v>
      </c>
      <c r="L136" s="4">
        <v>6</v>
      </c>
      <c r="M136" s="4">
        <v>3</v>
      </c>
      <c r="N136" s="4" t="s">
        <v>3</v>
      </c>
      <c r="O136" s="4">
        <v>2</v>
      </c>
      <c r="P136" s="4"/>
    </row>
    <row r="137" spans="1:16" ht="12.75">
      <c r="A137" s="4">
        <v>50</v>
      </c>
      <c r="B137" s="4">
        <v>0</v>
      </c>
      <c r="C137" s="4">
        <v>0</v>
      </c>
      <c r="D137" s="4">
        <v>1</v>
      </c>
      <c r="E137" s="4">
        <v>228</v>
      </c>
      <c r="F137" s="4">
        <f>ROUND(Source!AY129,O137)</f>
        <v>551.31</v>
      </c>
      <c r="G137" s="4" t="s">
        <v>52</v>
      </c>
      <c r="H137" s="4" t="s">
        <v>53</v>
      </c>
      <c r="I137" s="4"/>
      <c r="J137" s="4"/>
      <c r="K137" s="4">
        <v>228</v>
      </c>
      <c r="L137" s="4">
        <v>7</v>
      </c>
      <c r="M137" s="4">
        <v>3</v>
      </c>
      <c r="N137" s="4" t="s">
        <v>3</v>
      </c>
      <c r="O137" s="4">
        <v>2</v>
      </c>
      <c r="P137" s="4"/>
    </row>
    <row r="138" spans="1:16" ht="12.75">
      <c r="A138" s="4">
        <v>50</v>
      </c>
      <c r="B138" s="4">
        <v>0</v>
      </c>
      <c r="C138" s="4">
        <v>0</v>
      </c>
      <c r="D138" s="4">
        <v>1</v>
      </c>
      <c r="E138" s="4">
        <v>216</v>
      </c>
      <c r="F138" s="4">
        <f>ROUND(Source!AP129,O138)</f>
        <v>0</v>
      </c>
      <c r="G138" s="4" t="s">
        <v>54</v>
      </c>
      <c r="H138" s="4" t="s">
        <v>55</v>
      </c>
      <c r="I138" s="4"/>
      <c r="J138" s="4"/>
      <c r="K138" s="4">
        <v>216</v>
      </c>
      <c r="L138" s="4">
        <v>8</v>
      </c>
      <c r="M138" s="4">
        <v>3</v>
      </c>
      <c r="N138" s="4" t="s">
        <v>3</v>
      </c>
      <c r="O138" s="4">
        <v>2</v>
      </c>
      <c r="P138" s="4"/>
    </row>
    <row r="139" spans="1:16" ht="12.75">
      <c r="A139" s="4">
        <v>50</v>
      </c>
      <c r="B139" s="4">
        <v>0</v>
      </c>
      <c r="C139" s="4">
        <v>0</v>
      </c>
      <c r="D139" s="4">
        <v>1</v>
      </c>
      <c r="E139" s="4">
        <v>223</v>
      </c>
      <c r="F139" s="4">
        <f>ROUND(Source!AQ129,O139)</f>
        <v>0</v>
      </c>
      <c r="G139" s="4" t="s">
        <v>56</v>
      </c>
      <c r="H139" s="4" t="s">
        <v>57</v>
      </c>
      <c r="I139" s="4"/>
      <c r="J139" s="4"/>
      <c r="K139" s="4">
        <v>223</v>
      </c>
      <c r="L139" s="4">
        <v>9</v>
      </c>
      <c r="M139" s="4">
        <v>3</v>
      </c>
      <c r="N139" s="4" t="s">
        <v>3</v>
      </c>
      <c r="O139" s="4">
        <v>2</v>
      </c>
      <c r="P139" s="4"/>
    </row>
    <row r="140" spans="1:16" ht="12.75">
      <c r="A140" s="4">
        <v>50</v>
      </c>
      <c r="B140" s="4">
        <v>0</v>
      </c>
      <c r="C140" s="4">
        <v>0</v>
      </c>
      <c r="D140" s="4">
        <v>1</v>
      </c>
      <c r="E140" s="4">
        <v>229</v>
      </c>
      <c r="F140" s="4">
        <f>ROUND(Source!AZ129,O140)</f>
        <v>0</v>
      </c>
      <c r="G140" s="4" t="s">
        <v>58</v>
      </c>
      <c r="H140" s="4" t="s">
        <v>59</v>
      </c>
      <c r="I140" s="4"/>
      <c r="J140" s="4"/>
      <c r="K140" s="4">
        <v>229</v>
      </c>
      <c r="L140" s="4">
        <v>10</v>
      </c>
      <c r="M140" s="4">
        <v>3</v>
      </c>
      <c r="N140" s="4" t="s">
        <v>3</v>
      </c>
      <c r="O140" s="4">
        <v>2</v>
      </c>
      <c r="P140" s="4"/>
    </row>
    <row r="141" spans="1:16" ht="12.75">
      <c r="A141" s="4">
        <v>50</v>
      </c>
      <c r="B141" s="4">
        <v>0</v>
      </c>
      <c r="C141" s="4">
        <v>0</v>
      </c>
      <c r="D141" s="4">
        <v>1</v>
      </c>
      <c r="E141" s="4">
        <v>203</v>
      </c>
      <c r="F141" s="4">
        <f>ROUND(Source!Q129,O141)</f>
        <v>174.13</v>
      </c>
      <c r="G141" s="4" t="s">
        <v>60</v>
      </c>
      <c r="H141" s="4" t="s">
        <v>61</v>
      </c>
      <c r="I141" s="4"/>
      <c r="J141" s="4"/>
      <c r="K141" s="4">
        <v>203</v>
      </c>
      <c r="L141" s="4">
        <v>11</v>
      </c>
      <c r="M141" s="4">
        <v>3</v>
      </c>
      <c r="N141" s="4" t="s">
        <v>3</v>
      </c>
      <c r="O141" s="4">
        <v>2</v>
      </c>
      <c r="P141" s="4"/>
    </row>
    <row r="142" spans="1:16" ht="12.75">
      <c r="A142" s="4">
        <v>50</v>
      </c>
      <c r="B142" s="4">
        <v>0</v>
      </c>
      <c r="C142" s="4">
        <v>0</v>
      </c>
      <c r="D142" s="4">
        <v>1</v>
      </c>
      <c r="E142" s="4">
        <v>204</v>
      </c>
      <c r="F142" s="4">
        <f>ROUND(Source!R129,O142)</f>
        <v>53.61</v>
      </c>
      <c r="G142" s="4" t="s">
        <v>62</v>
      </c>
      <c r="H142" s="4" t="s">
        <v>63</v>
      </c>
      <c r="I142" s="4"/>
      <c r="J142" s="4"/>
      <c r="K142" s="4">
        <v>204</v>
      </c>
      <c r="L142" s="4">
        <v>12</v>
      </c>
      <c r="M142" s="4">
        <v>3</v>
      </c>
      <c r="N142" s="4" t="s">
        <v>3</v>
      </c>
      <c r="O142" s="4">
        <v>2</v>
      </c>
      <c r="P142" s="4"/>
    </row>
    <row r="143" spans="1:16" ht="12.75">
      <c r="A143" s="4">
        <v>50</v>
      </c>
      <c r="B143" s="4">
        <v>0</v>
      </c>
      <c r="C143" s="4">
        <v>0</v>
      </c>
      <c r="D143" s="4">
        <v>1</v>
      </c>
      <c r="E143" s="4">
        <v>205</v>
      </c>
      <c r="F143" s="4">
        <f>ROUND(Source!S129,O143)</f>
        <v>65314.25</v>
      </c>
      <c r="G143" s="4" t="s">
        <v>64</v>
      </c>
      <c r="H143" s="4" t="s">
        <v>65</v>
      </c>
      <c r="I143" s="4"/>
      <c r="J143" s="4"/>
      <c r="K143" s="4">
        <v>205</v>
      </c>
      <c r="L143" s="4">
        <v>13</v>
      </c>
      <c r="M143" s="4">
        <v>3</v>
      </c>
      <c r="N143" s="4" t="s">
        <v>3</v>
      </c>
      <c r="O143" s="4">
        <v>2</v>
      </c>
      <c r="P143" s="4"/>
    </row>
    <row r="144" spans="1:16" ht="12.75">
      <c r="A144" s="4">
        <v>50</v>
      </c>
      <c r="B144" s="4">
        <v>0</v>
      </c>
      <c r="C144" s="4">
        <v>0</v>
      </c>
      <c r="D144" s="4">
        <v>1</v>
      </c>
      <c r="E144" s="4">
        <v>214</v>
      </c>
      <c r="F144" s="4">
        <f>ROUND(Source!AS129,O144)</f>
        <v>146076.6</v>
      </c>
      <c r="G144" s="4" t="s">
        <v>66</v>
      </c>
      <c r="H144" s="4" t="s">
        <v>67</v>
      </c>
      <c r="I144" s="4"/>
      <c r="J144" s="4"/>
      <c r="K144" s="4">
        <v>214</v>
      </c>
      <c r="L144" s="4">
        <v>14</v>
      </c>
      <c r="M144" s="4">
        <v>3</v>
      </c>
      <c r="N144" s="4" t="s">
        <v>3</v>
      </c>
      <c r="O144" s="4">
        <v>2</v>
      </c>
      <c r="P144" s="4"/>
    </row>
    <row r="145" spans="1:16" ht="12.75">
      <c r="A145" s="4">
        <v>50</v>
      </c>
      <c r="B145" s="4">
        <v>0</v>
      </c>
      <c r="C145" s="4">
        <v>0</v>
      </c>
      <c r="D145" s="4">
        <v>1</v>
      </c>
      <c r="E145" s="4">
        <v>215</v>
      </c>
      <c r="F145" s="4">
        <f>ROUND(Source!AT129,O145)</f>
        <v>0</v>
      </c>
      <c r="G145" s="4" t="s">
        <v>68</v>
      </c>
      <c r="H145" s="4" t="s">
        <v>69</v>
      </c>
      <c r="I145" s="4"/>
      <c r="J145" s="4"/>
      <c r="K145" s="4">
        <v>215</v>
      </c>
      <c r="L145" s="4">
        <v>15</v>
      </c>
      <c r="M145" s="4">
        <v>3</v>
      </c>
      <c r="N145" s="4" t="s">
        <v>3</v>
      </c>
      <c r="O145" s="4">
        <v>2</v>
      </c>
      <c r="P145" s="4"/>
    </row>
    <row r="146" spans="1:16" ht="12.75">
      <c r="A146" s="4">
        <v>50</v>
      </c>
      <c r="B146" s="4">
        <v>0</v>
      </c>
      <c r="C146" s="4">
        <v>0</v>
      </c>
      <c r="D146" s="4">
        <v>1</v>
      </c>
      <c r="E146" s="4">
        <v>217</v>
      </c>
      <c r="F146" s="4">
        <f>ROUND(Source!AU129,O146)</f>
        <v>0</v>
      </c>
      <c r="G146" s="4" t="s">
        <v>70</v>
      </c>
      <c r="H146" s="4" t="s">
        <v>71</v>
      </c>
      <c r="I146" s="4"/>
      <c r="J146" s="4"/>
      <c r="K146" s="4">
        <v>217</v>
      </c>
      <c r="L146" s="4">
        <v>16</v>
      </c>
      <c r="M146" s="4">
        <v>3</v>
      </c>
      <c r="N146" s="4" t="s">
        <v>3</v>
      </c>
      <c r="O146" s="4">
        <v>2</v>
      </c>
      <c r="P146" s="4"/>
    </row>
    <row r="147" spans="1:16" ht="12.75">
      <c r="A147" s="4">
        <v>50</v>
      </c>
      <c r="B147" s="4">
        <v>0</v>
      </c>
      <c r="C147" s="4">
        <v>0</v>
      </c>
      <c r="D147" s="4">
        <v>1</v>
      </c>
      <c r="E147" s="4">
        <v>206</v>
      </c>
      <c r="F147" s="4">
        <f>ROUND(Source!T129,O147)</f>
        <v>0</v>
      </c>
      <c r="G147" s="4" t="s">
        <v>72</v>
      </c>
      <c r="H147" s="4" t="s">
        <v>73</v>
      </c>
      <c r="I147" s="4"/>
      <c r="J147" s="4"/>
      <c r="K147" s="4">
        <v>206</v>
      </c>
      <c r="L147" s="4">
        <v>17</v>
      </c>
      <c r="M147" s="4">
        <v>3</v>
      </c>
      <c r="N147" s="4" t="s">
        <v>3</v>
      </c>
      <c r="O147" s="4">
        <v>2</v>
      </c>
      <c r="P147" s="4"/>
    </row>
    <row r="148" spans="1:16" ht="12.75">
      <c r="A148" s="4">
        <v>50</v>
      </c>
      <c r="B148" s="4">
        <v>0</v>
      </c>
      <c r="C148" s="4">
        <v>0</v>
      </c>
      <c r="D148" s="4">
        <v>1</v>
      </c>
      <c r="E148" s="4">
        <v>207</v>
      </c>
      <c r="F148" s="4">
        <f>Source!U129</f>
        <v>304.4153656</v>
      </c>
      <c r="G148" s="4" t="s">
        <v>74</v>
      </c>
      <c r="H148" s="4" t="s">
        <v>75</v>
      </c>
      <c r="I148" s="4"/>
      <c r="J148" s="4"/>
      <c r="K148" s="4">
        <v>207</v>
      </c>
      <c r="L148" s="4">
        <v>18</v>
      </c>
      <c r="M148" s="4">
        <v>3</v>
      </c>
      <c r="N148" s="4" t="s">
        <v>3</v>
      </c>
      <c r="O148" s="4">
        <v>-1</v>
      </c>
      <c r="P148" s="4"/>
    </row>
    <row r="149" spans="1:16" ht="12.75">
      <c r="A149" s="4">
        <v>50</v>
      </c>
      <c r="B149" s="4">
        <v>0</v>
      </c>
      <c r="C149" s="4">
        <v>0</v>
      </c>
      <c r="D149" s="4">
        <v>1</v>
      </c>
      <c r="E149" s="4">
        <v>208</v>
      </c>
      <c r="F149" s="4">
        <f>Source!V129</f>
        <v>0</v>
      </c>
      <c r="G149" s="4" t="s">
        <v>76</v>
      </c>
      <c r="H149" s="4" t="s">
        <v>77</v>
      </c>
      <c r="I149" s="4"/>
      <c r="J149" s="4"/>
      <c r="K149" s="4">
        <v>208</v>
      </c>
      <c r="L149" s="4">
        <v>19</v>
      </c>
      <c r="M149" s="4">
        <v>3</v>
      </c>
      <c r="N149" s="4" t="s">
        <v>3</v>
      </c>
      <c r="O149" s="4">
        <v>-1</v>
      </c>
      <c r="P149" s="4"/>
    </row>
    <row r="150" spans="1:16" ht="12.75">
      <c r="A150" s="4">
        <v>50</v>
      </c>
      <c r="B150" s="4">
        <v>0</v>
      </c>
      <c r="C150" s="4">
        <v>0</v>
      </c>
      <c r="D150" s="4">
        <v>1</v>
      </c>
      <c r="E150" s="4">
        <v>209</v>
      </c>
      <c r="F150" s="4">
        <f>ROUND(Source!W129,O150)</f>
        <v>0</v>
      </c>
      <c r="G150" s="4" t="s">
        <v>78</v>
      </c>
      <c r="H150" s="4" t="s">
        <v>79</v>
      </c>
      <c r="I150" s="4"/>
      <c r="J150" s="4"/>
      <c r="K150" s="4">
        <v>209</v>
      </c>
      <c r="L150" s="4">
        <v>20</v>
      </c>
      <c r="M150" s="4">
        <v>3</v>
      </c>
      <c r="N150" s="4" t="s">
        <v>3</v>
      </c>
      <c r="O150" s="4">
        <v>2</v>
      </c>
      <c r="P150" s="4"/>
    </row>
    <row r="151" spans="1:16" ht="12.75">
      <c r="A151" s="4">
        <v>50</v>
      </c>
      <c r="B151" s="4">
        <v>0</v>
      </c>
      <c r="C151" s="4">
        <v>0</v>
      </c>
      <c r="D151" s="4">
        <v>1</v>
      </c>
      <c r="E151" s="4">
        <v>210</v>
      </c>
      <c r="F151" s="4">
        <f>ROUND(Source!X129,O151)</f>
        <v>51208.05</v>
      </c>
      <c r="G151" s="4" t="s">
        <v>80</v>
      </c>
      <c r="H151" s="4" t="s">
        <v>81</v>
      </c>
      <c r="I151" s="4"/>
      <c r="J151" s="4"/>
      <c r="K151" s="4">
        <v>210</v>
      </c>
      <c r="L151" s="4">
        <v>21</v>
      </c>
      <c r="M151" s="4">
        <v>3</v>
      </c>
      <c r="N151" s="4" t="s">
        <v>3</v>
      </c>
      <c r="O151" s="4">
        <v>2</v>
      </c>
      <c r="P151" s="4"/>
    </row>
    <row r="152" spans="1:16" ht="12.75">
      <c r="A152" s="4">
        <v>50</v>
      </c>
      <c r="B152" s="4">
        <v>0</v>
      </c>
      <c r="C152" s="4">
        <v>0</v>
      </c>
      <c r="D152" s="4">
        <v>1</v>
      </c>
      <c r="E152" s="4">
        <v>211</v>
      </c>
      <c r="F152" s="4">
        <f>ROUND(Source!Y129,O152)</f>
        <v>28738.26</v>
      </c>
      <c r="G152" s="4" t="s">
        <v>82</v>
      </c>
      <c r="H152" s="4" t="s">
        <v>83</v>
      </c>
      <c r="I152" s="4"/>
      <c r="J152" s="4"/>
      <c r="K152" s="4">
        <v>211</v>
      </c>
      <c r="L152" s="4">
        <v>22</v>
      </c>
      <c r="M152" s="4">
        <v>3</v>
      </c>
      <c r="N152" s="4" t="s">
        <v>3</v>
      </c>
      <c r="O152" s="4">
        <v>2</v>
      </c>
      <c r="P152" s="4"/>
    </row>
    <row r="153" spans="1:16" ht="12.75">
      <c r="A153" s="4">
        <v>50</v>
      </c>
      <c r="B153" s="4">
        <v>0</v>
      </c>
      <c r="C153" s="4">
        <v>0</v>
      </c>
      <c r="D153" s="4">
        <v>1</v>
      </c>
      <c r="E153" s="4">
        <v>224</v>
      </c>
      <c r="F153" s="4">
        <f>ROUND(Source!AR129,O153)</f>
        <v>146076.6</v>
      </c>
      <c r="G153" s="4" t="s">
        <v>84</v>
      </c>
      <c r="H153" s="4" t="s">
        <v>85</v>
      </c>
      <c r="I153" s="4"/>
      <c r="J153" s="4"/>
      <c r="K153" s="4">
        <v>224</v>
      </c>
      <c r="L153" s="4">
        <v>23</v>
      </c>
      <c r="M153" s="4">
        <v>3</v>
      </c>
      <c r="N153" s="4" t="s">
        <v>3</v>
      </c>
      <c r="O153" s="4">
        <v>2</v>
      </c>
      <c r="P153" s="4"/>
    </row>
    <row r="155" spans="1:118" ht="12.75">
      <c r="A155" s="2">
        <v>51</v>
      </c>
      <c r="B155" s="2">
        <f>B12</f>
        <v>188</v>
      </c>
      <c r="C155" s="2">
        <f>A12</f>
        <v>1</v>
      </c>
      <c r="D155" s="2">
        <f>ROW(A12)</f>
        <v>12</v>
      </c>
      <c r="E155" s="2"/>
      <c r="F155" s="2" t="str">
        <f>IF(F12&lt;&gt;"",F12,"")</f>
        <v>Новый объект</v>
      </c>
      <c r="G155" s="2" t="str">
        <f>IF(G12&lt;&gt;"",G12,"")</f>
        <v>Мытьё фасадов</v>
      </c>
      <c r="H155" s="2"/>
      <c r="I155" s="2"/>
      <c r="J155" s="2"/>
      <c r="K155" s="2"/>
      <c r="L155" s="2"/>
      <c r="M155" s="2"/>
      <c r="N155" s="2"/>
      <c r="O155" s="2">
        <f aca="true" t="shared" si="45" ref="O155:T155">ROUND(O129,2)</f>
        <v>66039.69</v>
      </c>
      <c r="P155" s="2">
        <f t="shared" si="45"/>
        <v>551.31</v>
      </c>
      <c r="Q155" s="2">
        <f t="shared" si="45"/>
        <v>174.13</v>
      </c>
      <c r="R155" s="2">
        <f t="shared" si="45"/>
        <v>53.61</v>
      </c>
      <c r="S155" s="2">
        <f t="shared" si="45"/>
        <v>65314.25</v>
      </c>
      <c r="T155" s="2">
        <f t="shared" si="45"/>
        <v>0</v>
      </c>
      <c r="U155" s="2">
        <f>U129</f>
        <v>304.4153656</v>
      </c>
      <c r="V155" s="2">
        <f>V129</f>
        <v>0</v>
      </c>
      <c r="W155" s="2">
        <f>ROUND(W129,2)</f>
        <v>0</v>
      </c>
      <c r="X155" s="2">
        <f>ROUND(X129,2)</f>
        <v>51208.05</v>
      </c>
      <c r="Y155" s="2">
        <f>ROUND(Y129,2)</f>
        <v>28738.26</v>
      </c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>
        <f aca="true" t="shared" si="46" ref="AO155:AZ155">ROUND(AO129,2)</f>
        <v>0</v>
      </c>
      <c r="AP155" s="2">
        <f t="shared" si="46"/>
        <v>0</v>
      </c>
      <c r="AQ155" s="2">
        <f t="shared" si="46"/>
        <v>0</v>
      </c>
      <c r="AR155" s="2">
        <f t="shared" si="46"/>
        <v>146076.6</v>
      </c>
      <c r="AS155" s="2">
        <f t="shared" si="46"/>
        <v>146076.6</v>
      </c>
      <c r="AT155" s="2">
        <f t="shared" si="46"/>
        <v>0</v>
      </c>
      <c r="AU155" s="2">
        <f t="shared" si="46"/>
        <v>0</v>
      </c>
      <c r="AV155" s="2">
        <f t="shared" si="46"/>
        <v>551.31</v>
      </c>
      <c r="AW155" s="2">
        <f t="shared" si="46"/>
        <v>551.31</v>
      </c>
      <c r="AX155" s="2">
        <f t="shared" si="46"/>
        <v>0</v>
      </c>
      <c r="AY155" s="2">
        <f t="shared" si="46"/>
        <v>551.31</v>
      </c>
      <c r="AZ155" s="2">
        <f t="shared" si="46"/>
        <v>0</v>
      </c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>
        <v>0</v>
      </c>
    </row>
    <row r="157" spans="1:16" ht="12.75">
      <c r="A157" s="4">
        <v>50</v>
      </c>
      <c r="B157" s="4">
        <v>0</v>
      </c>
      <c r="C157" s="4">
        <v>0</v>
      </c>
      <c r="D157" s="4">
        <v>1</v>
      </c>
      <c r="E157" s="4">
        <v>201</v>
      </c>
      <c r="F157" s="4">
        <f>ROUND(Source!O155,O157)</f>
        <v>66039.69</v>
      </c>
      <c r="G157" s="4" t="s">
        <v>40</v>
      </c>
      <c r="H157" s="4" t="s">
        <v>41</v>
      </c>
      <c r="I157" s="4"/>
      <c r="J157" s="4"/>
      <c r="K157" s="4">
        <v>201</v>
      </c>
      <c r="L157" s="4">
        <v>1</v>
      </c>
      <c r="M157" s="4">
        <v>3</v>
      </c>
      <c r="N157" s="4" t="s">
        <v>3</v>
      </c>
      <c r="O157" s="4">
        <v>2</v>
      </c>
      <c r="P157" s="4"/>
    </row>
    <row r="158" spans="1:16" ht="12.75">
      <c r="A158" s="4">
        <v>50</v>
      </c>
      <c r="B158" s="4">
        <v>0</v>
      </c>
      <c r="C158" s="4">
        <v>0</v>
      </c>
      <c r="D158" s="4">
        <v>1</v>
      </c>
      <c r="E158" s="4">
        <v>202</v>
      </c>
      <c r="F158" s="4">
        <f>ROUND(Source!P155,O158)</f>
        <v>551.31</v>
      </c>
      <c r="G158" s="4" t="s">
        <v>42</v>
      </c>
      <c r="H158" s="4" t="s">
        <v>43</v>
      </c>
      <c r="I158" s="4"/>
      <c r="J158" s="4"/>
      <c r="K158" s="4">
        <v>202</v>
      </c>
      <c r="L158" s="4">
        <v>2</v>
      </c>
      <c r="M158" s="4">
        <v>3</v>
      </c>
      <c r="N158" s="4" t="s">
        <v>3</v>
      </c>
      <c r="O158" s="4">
        <v>2</v>
      </c>
      <c r="P158" s="4"/>
    </row>
    <row r="159" spans="1:16" ht="12.75">
      <c r="A159" s="4">
        <v>50</v>
      </c>
      <c r="B159" s="4">
        <v>0</v>
      </c>
      <c r="C159" s="4">
        <v>0</v>
      </c>
      <c r="D159" s="4">
        <v>1</v>
      </c>
      <c r="E159" s="4">
        <v>222</v>
      </c>
      <c r="F159" s="4">
        <f>ROUND(Source!AO155,O159)</f>
        <v>0</v>
      </c>
      <c r="G159" s="4" t="s">
        <v>44</v>
      </c>
      <c r="H159" s="4" t="s">
        <v>45</v>
      </c>
      <c r="I159" s="4"/>
      <c r="J159" s="4"/>
      <c r="K159" s="4">
        <v>222</v>
      </c>
      <c r="L159" s="4">
        <v>3</v>
      </c>
      <c r="M159" s="4">
        <v>3</v>
      </c>
      <c r="N159" s="4" t="s">
        <v>3</v>
      </c>
      <c r="O159" s="4">
        <v>2</v>
      </c>
      <c r="P159" s="4"/>
    </row>
    <row r="160" spans="1:16" ht="12.75">
      <c r="A160" s="4">
        <v>50</v>
      </c>
      <c r="B160" s="4">
        <v>0</v>
      </c>
      <c r="C160" s="4">
        <v>0</v>
      </c>
      <c r="D160" s="4">
        <v>1</v>
      </c>
      <c r="E160" s="4">
        <v>225</v>
      </c>
      <c r="F160" s="4">
        <f>ROUND(Source!AV155,O160)</f>
        <v>551.31</v>
      </c>
      <c r="G160" s="4" t="s">
        <v>46</v>
      </c>
      <c r="H160" s="4" t="s">
        <v>47</v>
      </c>
      <c r="I160" s="4"/>
      <c r="J160" s="4"/>
      <c r="K160" s="4">
        <v>225</v>
      </c>
      <c r="L160" s="4">
        <v>4</v>
      </c>
      <c r="M160" s="4">
        <v>3</v>
      </c>
      <c r="N160" s="4" t="s">
        <v>3</v>
      </c>
      <c r="O160" s="4">
        <v>2</v>
      </c>
      <c r="P160" s="4"/>
    </row>
    <row r="161" spans="1:16" ht="12.75">
      <c r="A161" s="4">
        <v>50</v>
      </c>
      <c r="B161" s="4">
        <v>0</v>
      </c>
      <c r="C161" s="4">
        <v>0</v>
      </c>
      <c r="D161" s="4">
        <v>1</v>
      </c>
      <c r="E161" s="4">
        <v>226</v>
      </c>
      <c r="F161" s="4">
        <f>ROUND(Source!AW155,O161)</f>
        <v>551.31</v>
      </c>
      <c r="G161" s="4" t="s">
        <v>48</v>
      </c>
      <c r="H161" s="4" t="s">
        <v>49</v>
      </c>
      <c r="I161" s="4"/>
      <c r="J161" s="4"/>
      <c r="K161" s="4">
        <v>226</v>
      </c>
      <c r="L161" s="4">
        <v>5</v>
      </c>
      <c r="M161" s="4">
        <v>3</v>
      </c>
      <c r="N161" s="4" t="s">
        <v>3</v>
      </c>
      <c r="O161" s="4">
        <v>2</v>
      </c>
      <c r="P161" s="4"/>
    </row>
    <row r="162" spans="1:16" ht="12.75">
      <c r="A162" s="4">
        <v>50</v>
      </c>
      <c r="B162" s="4">
        <v>0</v>
      </c>
      <c r="C162" s="4">
        <v>0</v>
      </c>
      <c r="D162" s="4">
        <v>1</v>
      </c>
      <c r="E162" s="4">
        <v>227</v>
      </c>
      <c r="F162" s="4">
        <f>ROUND(Source!AX155,O162)</f>
        <v>0</v>
      </c>
      <c r="G162" s="4" t="s">
        <v>50</v>
      </c>
      <c r="H162" s="4" t="s">
        <v>51</v>
      </c>
      <c r="I162" s="4"/>
      <c r="J162" s="4"/>
      <c r="K162" s="4">
        <v>227</v>
      </c>
      <c r="L162" s="4">
        <v>6</v>
      </c>
      <c r="M162" s="4">
        <v>3</v>
      </c>
      <c r="N162" s="4" t="s">
        <v>3</v>
      </c>
      <c r="O162" s="4">
        <v>2</v>
      </c>
      <c r="P162" s="4"/>
    </row>
    <row r="163" spans="1:16" ht="12.75">
      <c r="A163" s="4">
        <v>50</v>
      </c>
      <c r="B163" s="4">
        <v>0</v>
      </c>
      <c r="C163" s="4">
        <v>0</v>
      </c>
      <c r="D163" s="4">
        <v>1</v>
      </c>
      <c r="E163" s="4">
        <v>228</v>
      </c>
      <c r="F163" s="4">
        <f>ROUND(Source!AY155,O163)</f>
        <v>551.31</v>
      </c>
      <c r="G163" s="4" t="s">
        <v>52</v>
      </c>
      <c r="H163" s="4" t="s">
        <v>53</v>
      </c>
      <c r="I163" s="4"/>
      <c r="J163" s="4"/>
      <c r="K163" s="4">
        <v>228</v>
      </c>
      <c r="L163" s="4">
        <v>7</v>
      </c>
      <c r="M163" s="4">
        <v>3</v>
      </c>
      <c r="N163" s="4" t="s">
        <v>3</v>
      </c>
      <c r="O163" s="4">
        <v>2</v>
      </c>
      <c r="P163" s="4"/>
    </row>
    <row r="164" spans="1:16" ht="12.75">
      <c r="A164" s="4">
        <v>50</v>
      </c>
      <c r="B164" s="4">
        <v>0</v>
      </c>
      <c r="C164" s="4">
        <v>0</v>
      </c>
      <c r="D164" s="4">
        <v>1</v>
      </c>
      <c r="E164" s="4">
        <v>216</v>
      </c>
      <c r="F164" s="4">
        <f>ROUND(Source!AP155,O164)</f>
        <v>0</v>
      </c>
      <c r="G164" s="4" t="s">
        <v>54</v>
      </c>
      <c r="H164" s="4" t="s">
        <v>55</v>
      </c>
      <c r="I164" s="4"/>
      <c r="J164" s="4"/>
      <c r="K164" s="4">
        <v>216</v>
      </c>
      <c r="L164" s="4">
        <v>8</v>
      </c>
      <c r="M164" s="4">
        <v>3</v>
      </c>
      <c r="N164" s="4" t="s">
        <v>3</v>
      </c>
      <c r="O164" s="4">
        <v>2</v>
      </c>
      <c r="P164" s="4"/>
    </row>
    <row r="165" spans="1:16" ht="12.75">
      <c r="A165" s="4">
        <v>50</v>
      </c>
      <c r="B165" s="4">
        <v>0</v>
      </c>
      <c r="C165" s="4">
        <v>0</v>
      </c>
      <c r="D165" s="4">
        <v>1</v>
      </c>
      <c r="E165" s="4">
        <v>223</v>
      </c>
      <c r="F165" s="4">
        <f>ROUND(Source!AQ155,O165)</f>
        <v>0</v>
      </c>
      <c r="G165" s="4" t="s">
        <v>56</v>
      </c>
      <c r="H165" s="4" t="s">
        <v>57</v>
      </c>
      <c r="I165" s="4"/>
      <c r="J165" s="4"/>
      <c r="K165" s="4">
        <v>223</v>
      </c>
      <c r="L165" s="4">
        <v>9</v>
      </c>
      <c r="M165" s="4">
        <v>3</v>
      </c>
      <c r="N165" s="4" t="s">
        <v>3</v>
      </c>
      <c r="O165" s="4">
        <v>2</v>
      </c>
      <c r="P165" s="4"/>
    </row>
    <row r="166" spans="1:16" ht="12.75">
      <c r="A166" s="4">
        <v>50</v>
      </c>
      <c r="B166" s="4">
        <v>0</v>
      </c>
      <c r="C166" s="4">
        <v>0</v>
      </c>
      <c r="D166" s="4">
        <v>1</v>
      </c>
      <c r="E166" s="4">
        <v>229</v>
      </c>
      <c r="F166" s="4">
        <f>ROUND(Source!AZ155,O166)</f>
        <v>0</v>
      </c>
      <c r="G166" s="4" t="s">
        <v>58</v>
      </c>
      <c r="H166" s="4" t="s">
        <v>59</v>
      </c>
      <c r="I166" s="4"/>
      <c r="J166" s="4"/>
      <c r="K166" s="4">
        <v>229</v>
      </c>
      <c r="L166" s="4">
        <v>10</v>
      </c>
      <c r="M166" s="4">
        <v>3</v>
      </c>
      <c r="N166" s="4" t="s">
        <v>3</v>
      </c>
      <c r="O166" s="4">
        <v>2</v>
      </c>
      <c r="P166" s="4"/>
    </row>
    <row r="167" spans="1:16" ht="12.75">
      <c r="A167" s="4">
        <v>50</v>
      </c>
      <c r="B167" s="4">
        <v>0</v>
      </c>
      <c r="C167" s="4">
        <v>0</v>
      </c>
      <c r="D167" s="4">
        <v>1</v>
      </c>
      <c r="E167" s="4">
        <v>203</v>
      </c>
      <c r="F167" s="4">
        <f>ROUND(Source!Q155,O167)</f>
        <v>174.13</v>
      </c>
      <c r="G167" s="4" t="s">
        <v>60</v>
      </c>
      <c r="H167" s="4" t="s">
        <v>61</v>
      </c>
      <c r="I167" s="4"/>
      <c r="J167" s="4"/>
      <c r="K167" s="4">
        <v>203</v>
      </c>
      <c r="L167" s="4">
        <v>11</v>
      </c>
      <c r="M167" s="4">
        <v>3</v>
      </c>
      <c r="N167" s="4" t="s">
        <v>3</v>
      </c>
      <c r="O167" s="4">
        <v>2</v>
      </c>
      <c r="P167" s="4"/>
    </row>
    <row r="168" spans="1:16" ht="12.75">
      <c r="A168" s="4">
        <v>50</v>
      </c>
      <c r="B168" s="4">
        <v>0</v>
      </c>
      <c r="C168" s="4">
        <v>0</v>
      </c>
      <c r="D168" s="4">
        <v>1</v>
      </c>
      <c r="E168" s="4">
        <v>204</v>
      </c>
      <c r="F168" s="4">
        <f>ROUND(Source!R155,O168)</f>
        <v>53.61</v>
      </c>
      <c r="G168" s="4" t="s">
        <v>62</v>
      </c>
      <c r="H168" s="4" t="s">
        <v>63</v>
      </c>
      <c r="I168" s="4"/>
      <c r="J168" s="4"/>
      <c r="K168" s="4">
        <v>204</v>
      </c>
      <c r="L168" s="4">
        <v>12</v>
      </c>
      <c r="M168" s="4">
        <v>3</v>
      </c>
      <c r="N168" s="4" t="s">
        <v>3</v>
      </c>
      <c r="O168" s="4">
        <v>2</v>
      </c>
      <c r="P168" s="4"/>
    </row>
    <row r="169" spans="1:16" ht="12.75">
      <c r="A169" s="4">
        <v>50</v>
      </c>
      <c r="B169" s="4">
        <v>0</v>
      </c>
      <c r="C169" s="4">
        <v>0</v>
      </c>
      <c r="D169" s="4">
        <v>1</v>
      </c>
      <c r="E169" s="4">
        <v>205</v>
      </c>
      <c r="F169" s="4">
        <f>ROUND(Source!S155,O169)</f>
        <v>65314.25</v>
      </c>
      <c r="G169" s="4" t="s">
        <v>64</v>
      </c>
      <c r="H169" s="4" t="s">
        <v>65</v>
      </c>
      <c r="I169" s="4"/>
      <c r="J169" s="4"/>
      <c r="K169" s="4">
        <v>205</v>
      </c>
      <c r="L169" s="4">
        <v>13</v>
      </c>
      <c r="M169" s="4">
        <v>3</v>
      </c>
      <c r="N169" s="4" t="s">
        <v>3</v>
      </c>
      <c r="O169" s="4">
        <v>2</v>
      </c>
      <c r="P169" s="4"/>
    </row>
    <row r="170" spans="1:16" ht="12.75">
      <c r="A170" s="4">
        <v>50</v>
      </c>
      <c r="B170" s="4">
        <v>0</v>
      </c>
      <c r="C170" s="4">
        <v>0</v>
      </c>
      <c r="D170" s="4">
        <v>1</v>
      </c>
      <c r="E170" s="4">
        <v>214</v>
      </c>
      <c r="F170" s="4">
        <f>ROUND(Source!AS155,O170)</f>
        <v>146076.6</v>
      </c>
      <c r="G170" s="4" t="s">
        <v>66</v>
      </c>
      <c r="H170" s="4" t="s">
        <v>67</v>
      </c>
      <c r="I170" s="4"/>
      <c r="J170" s="4"/>
      <c r="K170" s="4">
        <v>214</v>
      </c>
      <c r="L170" s="4">
        <v>14</v>
      </c>
      <c r="M170" s="4">
        <v>3</v>
      </c>
      <c r="N170" s="4" t="s">
        <v>3</v>
      </c>
      <c r="O170" s="4">
        <v>2</v>
      </c>
      <c r="P170" s="4"/>
    </row>
    <row r="171" spans="1:16" ht="12.75">
      <c r="A171" s="4">
        <v>50</v>
      </c>
      <c r="B171" s="4">
        <v>0</v>
      </c>
      <c r="C171" s="4">
        <v>0</v>
      </c>
      <c r="D171" s="4">
        <v>1</v>
      </c>
      <c r="E171" s="4">
        <v>215</v>
      </c>
      <c r="F171" s="4">
        <f>ROUND(Source!AT155,O171)</f>
        <v>0</v>
      </c>
      <c r="G171" s="4" t="s">
        <v>68</v>
      </c>
      <c r="H171" s="4" t="s">
        <v>69</v>
      </c>
      <c r="I171" s="4"/>
      <c r="J171" s="4"/>
      <c r="K171" s="4">
        <v>215</v>
      </c>
      <c r="L171" s="4">
        <v>15</v>
      </c>
      <c r="M171" s="4">
        <v>3</v>
      </c>
      <c r="N171" s="4" t="s">
        <v>3</v>
      </c>
      <c r="O171" s="4">
        <v>2</v>
      </c>
      <c r="P171" s="4"/>
    </row>
    <row r="172" spans="1:16" ht="12.75">
      <c r="A172" s="4">
        <v>50</v>
      </c>
      <c r="B172" s="4">
        <v>0</v>
      </c>
      <c r="C172" s="4">
        <v>0</v>
      </c>
      <c r="D172" s="4">
        <v>1</v>
      </c>
      <c r="E172" s="4">
        <v>217</v>
      </c>
      <c r="F172" s="4">
        <f>ROUND(Source!AU155,O172)</f>
        <v>0</v>
      </c>
      <c r="G172" s="4" t="s">
        <v>70</v>
      </c>
      <c r="H172" s="4" t="s">
        <v>71</v>
      </c>
      <c r="I172" s="4"/>
      <c r="J172" s="4"/>
      <c r="K172" s="4">
        <v>217</v>
      </c>
      <c r="L172" s="4">
        <v>16</v>
      </c>
      <c r="M172" s="4">
        <v>3</v>
      </c>
      <c r="N172" s="4" t="s">
        <v>3</v>
      </c>
      <c r="O172" s="4">
        <v>2</v>
      </c>
      <c r="P172" s="4"/>
    </row>
    <row r="173" spans="1:16" ht="12.75">
      <c r="A173" s="4">
        <v>50</v>
      </c>
      <c r="B173" s="4">
        <v>0</v>
      </c>
      <c r="C173" s="4">
        <v>0</v>
      </c>
      <c r="D173" s="4">
        <v>1</v>
      </c>
      <c r="E173" s="4">
        <v>206</v>
      </c>
      <c r="F173" s="4">
        <f>ROUND(Source!T155,O173)</f>
        <v>0</v>
      </c>
      <c r="G173" s="4" t="s">
        <v>72</v>
      </c>
      <c r="H173" s="4" t="s">
        <v>73</v>
      </c>
      <c r="I173" s="4"/>
      <c r="J173" s="4"/>
      <c r="K173" s="4">
        <v>206</v>
      </c>
      <c r="L173" s="4">
        <v>17</v>
      </c>
      <c r="M173" s="4">
        <v>3</v>
      </c>
      <c r="N173" s="4" t="s">
        <v>3</v>
      </c>
      <c r="O173" s="4">
        <v>2</v>
      </c>
      <c r="P173" s="4"/>
    </row>
    <row r="174" spans="1:16" ht="12.75">
      <c r="A174" s="4">
        <v>50</v>
      </c>
      <c r="B174" s="4">
        <v>0</v>
      </c>
      <c r="C174" s="4">
        <v>0</v>
      </c>
      <c r="D174" s="4">
        <v>1</v>
      </c>
      <c r="E174" s="4">
        <v>207</v>
      </c>
      <c r="F174" s="4">
        <f>Source!U155</f>
        <v>304.4153656</v>
      </c>
      <c r="G174" s="4" t="s">
        <v>74</v>
      </c>
      <c r="H174" s="4" t="s">
        <v>75</v>
      </c>
      <c r="I174" s="4"/>
      <c r="J174" s="4"/>
      <c r="K174" s="4">
        <v>207</v>
      </c>
      <c r="L174" s="4">
        <v>18</v>
      </c>
      <c r="M174" s="4">
        <v>3</v>
      </c>
      <c r="N174" s="4" t="s">
        <v>3</v>
      </c>
      <c r="O174" s="4">
        <v>-1</v>
      </c>
      <c r="P174" s="4"/>
    </row>
    <row r="175" spans="1:16" ht="12.75">
      <c r="A175" s="4">
        <v>50</v>
      </c>
      <c r="B175" s="4">
        <v>0</v>
      </c>
      <c r="C175" s="4">
        <v>0</v>
      </c>
      <c r="D175" s="4">
        <v>1</v>
      </c>
      <c r="E175" s="4">
        <v>208</v>
      </c>
      <c r="F175" s="4">
        <f>Source!V155</f>
        <v>0</v>
      </c>
      <c r="G175" s="4" t="s">
        <v>76</v>
      </c>
      <c r="H175" s="4" t="s">
        <v>77</v>
      </c>
      <c r="I175" s="4"/>
      <c r="J175" s="4"/>
      <c r="K175" s="4">
        <v>208</v>
      </c>
      <c r="L175" s="4">
        <v>19</v>
      </c>
      <c r="M175" s="4">
        <v>3</v>
      </c>
      <c r="N175" s="4" t="s">
        <v>3</v>
      </c>
      <c r="O175" s="4">
        <v>-1</v>
      </c>
      <c r="P175" s="4"/>
    </row>
    <row r="176" spans="1:16" ht="12.75">
      <c r="A176" s="4">
        <v>50</v>
      </c>
      <c r="B176" s="4">
        <v>0</v>
      </c>
      <c r="C176" s="4">
        <v>0</v>
      </c>
      <c r="D176" s="4">
        <v>1</v>
      </c>
      <c r="E176" s="4">
        <v>209</v>
      </c>
      <c r="F176" s="4">
        <f>ROUND(Source!W155,O176)</f>
        <v>0</v>
      </c>
      <c r="G176" s="4" t="s">
        <v>78</v>
      </c>
      <c r="H176" s="4" t="s">
        <v>79</v>
      </c>
      <c r="I176" s="4"/>
      <c r="J176" s="4"/>
      <c r="K176" s="4">
        <v>209</v>
      </c>
      <c r="L176" s="4">
        <v>20</v>
      </c>
      <c r="M176" s="4">
        <v>3</v>
      </c>
      <c r="N176" s="4" t="s">
        <v>3</v>
      </c>
      <c r="O176" s="4">
        <v>2</v>
      </c>
      <c r="P176" s="4"/>
    </row>
    <row r="177" spans="1:16" ht="12.75">
      <c r="A177" s="4">
        <v>50</v>
      </c>
      <c r="B177" s="4">
        <v>0</v>
      </c>
      <c r="C177" s="4">
        <v>0</v>
      </c>
      <c r="D177" s="4">
        <v>1</v>
      </c>
      <c r="E177" s="4">
        <v>210</v>
      </c>
      <c r="F177" s="4">
        <f>ROUND(Source!X155,O177)</f>
        <v>51208.05</v>
      </c>
      <c r="G177" s="4" t="s">
        <v>80</v>
      </c>
      <c r="H177" s="4" t="s">
        <v>81</v>
      </c>
      <c r="I177" s="4"/>
      <c r="J177" s="4"/>
      <c r="K177" s="4">
        <v>210</v>
      </c>
      <c r="L177" s="4">
        <v>21</v>
      </c>
      <c r="M177" s="4">
        <v>3</v>
      </c>
      <c r="N177" s="4" t="s">
        <v>3</v>
      </c>
      <c r="O177" s="4">
        <v>2</v>
      </c>
      <c r="P177" s="4"/>
    </row>
    <row r="178" spans="1:16" ht="12.75">
      <c r="A178" s="4">
        <v>50</v>
      </c>
      <c r="B178" s="4">
        <v>0</v>
      </c>
      <c r="C178" s="4">
        <v>0</v>
      </c>
      <c r="D178" s="4">
        <v>1</v>
      </c>
      <c r="E178" s="4">
        <v>211</v>
      </c>
      <c r="F178" s="4">
        <f>ROUND(Source!Y155,O178)</f>
        <v>28738.26</v>
      </c>
      <c r="G178" s="4" t="s">
        <v>82</v>
      </c>
      <c r="H178" s="4" t="s">
        <v>83</v>
      </c>
      <c r="I178" s="4"/>
      <c r="J178" s="4"/>
      <c r="K178" s="4">
        <v>211</v>
      </c>
      <c r="L178" s="4">
        <v>22</v>
      </c>
      <c r="M178" s="4">
        <v>3</v>
      </c>
      <c r="N178" s="4" t="s">
        <v>3</v>
      </c>
      <c r="O178" s="4">
        <v>2</v>
      </c>
      <c r="P178" s="4"/>
    </row>
    <row r="179" spans="1:16" ht="12.75">
      <c r="A179" s="4">
        <v>50</v>
      </c>
      <c r="B179" s="4">
        <v>0</v>
      </c>
      <c r="C179" s="4">
        <v>0</v>
      </c>
      <c r="D179" s="4">
        <v>1</v>
      </c>
      <c r="E179" s="4">
        <v>224</v>
      </c>
      <c r="F179" s="4">
        <f>ROUND(Source!AR155,O179)</f>
        <v>146076.6</v>
      </c>
      <c r="G179" s="4" t="s">
        <v>84</v>
      </c>
      <c r="H179" s="4" t="s">
        <v>85</v>
      </c>
      <c r="I179" s="4"/>
      <c r="J179" s="4"/>
      <c r="K179" s="4">
        <v>224</v>
      </c>
      <c r="L179" s="4">
        <v>23</v>
      </c>
      <c r="M179" s="4">
        <v>3</v>
      </c>
      <c r="N179" s="4" t="s">
        <v>3</v>
      </c>
      <c r="O179" s="4">
        <v>2</v>
      </c>
      <c r="P179" s="4"/>
    </row>
    <row r="180" spans="1:16" ht="12.75">
      <c r="A180" s="4">
        <v>50</v>
      </c>
      <c r="B180" s="4">
        <v>1</v>
      </c>
      <c r="C180" s="4">
        <v>0</v>
      </c>
      <c r="D180" s="4">
        <v>2</v>
      </c>
      <c r="E180" s="4">
        <v>0</v>
      </c>
      <c r="F180" s="4">
        <f>ROUND(F179*0.003*0,O180)</f>
        <v>0</v>
      </c>
      <c r="G180" s="4" t="s">
        <v>90</v>
      </c>
      <c r="H180" s="4" t="s">
        <v>91</v>
      </c>
      <c r="I180" s="4"/>
      <c r="J180" s="4"/>
      <c r="K180" s="4">
        <v>212</v>
      </c>
      <c r="L180" s="4">
        <v>24</v>
      </c>
      <c r="M180" s="4">
        <v>0</v>
      </c>
      <c r="N180" s="4" t="s">
        <v>3</v>
      </c>
      <c r="O180" s="4">
        <v>2</v>
      </c>
      <c r="P180" s="4"/>
    </row>
    <row r="181" spans="1:16" ht="12.75">
      <c r="A181" s="4">
        <v>50</v>
      </c>
      <c r="B181" s="4">
        <v>1</v>
      </c>
      <c r="C181" s="4">
        <v>0</v>
      </c>
      <c r="D181" s="4">
        <v>2</v>
      </c>
      <c r="E181" s="4">
        <v>0</v>
      </c>
      <c r="F181" s="4">
        <f>ROUND(F180+F179,O181)</f>
        <v>146076.6</v>
      </c>
      <c r="G181" s="4" t="s">
        <v>92</v>
      </c>
      <c r="H181" s="4" t="s">
        <v>93</v>
      </c>
      <c r="I181" s="4"/>
      <c r="J181" s="4"/>
      <c r="K181" s="4">
        <v>212</v>
      </c>
      <c r="L181" s="4">
        <v>25</v>
      </c>
      <c r="M181" s="4">
        <v>0</v>
      </c>
      <c r="N181" s="4" t="s">
        <v>3</v>
      </c>
      <c r="O181" s="4">
        <v>2</v>
      </c>
      <c r="P181" s="4"/>
    </row>
    <row r="182" spans="1:16" ht="12.75">
      <c r="A182" s="4">
        <v>50</v>
      </c>
      <c r="B182" s="4">
        <v>1</v>
      </c>
      <c r="C182" s="4">
        <v>0</v>
      </c>
      <c r="D182" s="4">
        <v>2</v>
      </c>
      <c r="E182" s="4">
        <v>0</v>
      </c>
      <c r="F182" s="4">
        <f>ROUND(F181*0.18,O182)</f>
        <v>26293.79</v>
      </c>
      <c r="G182" s="4" t="s">
        <v>94</v>
      </c>
      <c r="H182" s="4" t="s">
        <v>95</v>
      </c>
      <c r="I182" s="4"/>
      <c r="J182" s="4"/>
      <c r="K182" s="4">
        <v>212</v>
      </c>
      <c r="L182" s="4">
        <v>26</v>
      </c>
      <c r="M182" s="4">
        <v>0</v>
      </c>
      <c r="N182" s="4" t="s">
        <v>3</v>
      </c>
      <c r="O182" s="4">
        <v>2</v>
      </c>
      <c r="P182" s="4"/>
    </row>
    <row r="183" spans="1:16" ht="12.75">
      <c r="A183" s="4">
        <v>50</v>
      </c>
      <c r="B183" s="4">
        <v>1</v>
      </c>
      <c r="C183" s="4">
        <v>0</v>
      </c>
      <c r="D183" s="4">
        <v>2</v>
      </c>
      <c r="E183" s="4">
        <v>0</v>
      </c>
      <c r="F183" s="4">
        <f>ROUND(F181+F182,O183)</f>
        <v>172370.39</v>
      </c>
      <c r="G183" s="4" t="s">
        <v>96</v>
      </c>
      <c r="H183" s="4" t="s">
        <v>97</v>
      </c>
      <c r="I183" s="4"/>
      <c r="J183" s="4"/>
      <c r="K183" s="4">
        <v>212</v>
      </c>
      <c r="L183" s="4">
        <v>27</v>
      </c>
      <c r="M183" s="4">
        <v>0</v>
      </c>
      <c r="N183" s="4" t="s">
        <v>3</v>
      </c>
      <c r="O183" s="4">
        <v>2</v>
      </c>
      <c r="P183" s="4"/>
    </row>
    <row r="186" ht="12.75">
      <c r="A186">
        <v>-1</v>
      </c>
    </row>
    <row r="188" spans="1:15" ht="12.75">
      <c r="A188" s="3">
        <v>75</v>
      </c>
      <c r="B188" s="3" t="s">
        <v>98</v>
      </c>
      <c r="C188" s="3">
        <v>2015</v>
      </c>
      <c r="D188" s="3">
        <v>0</v>
      </c>
      <c r="E188" s="3">
        <v>10</v>
      </c>
      <c r="F188" s="3">
        <v>0</v>
      </c>
      <c r="G188" s="3">
        <v>0</v>
      </c>
      <c r="H188" s="3">
        <v>2</v>
      </c>
      <c r="I188" s="3">
        <v>1</v>
      </c>
      <c r="J188" s="3">
        <v>1</v>
      </c>
      <c r="K188" s="3">
        <v>99</v>
      </c>
      <c r="L188" s="3">
        <v>70</v>
      </c>
      <c r="M188" s="3">
        <v>0</v>
      </c>
      <c r="N188" s="3">
        <v>24625873</v>
      </c>
      <c r="O188" s="3">
        <v>1</v>
      </c>
    </row>
    <row r="189" spans="1:26" ht="12.75">
      <c r="A189" s="5">
        <v>1</v>
      </c>
      <c r="B189" s="5" t="s">
        <v>99</v>
      </c>
      <c r="C189" s="5" t="s">
        <v>100</v>
      </c>
      <c r="D189" s="5">
        <v>2015</v>
      </c>
      <c r="E189" s="5">
        <v>10</v>
      </c>
      <c r="F189" s="5">
        <v>1</v>
      </c>
      <c r="G189" s="5">
        <v>1</v>
      </c>
      <c r="H189" s="5">
        <v>0</v>
      </c>
      <c r="I189" s="5">
        <v>2</v>
      </c>
      <c r="J189" s="5">
        <v>1</v>
      </c>
      <c r="K189" s="5">
        <v>1</v>
      </c>
      <c r="L189" s="5">
        <v>1</v>
      </c>
      <c r="M189" s="5">
        <v>1</v>
      </c>
      <c r="N189" s="5">
        <v>1</v>
      </c>
      <c r="O189" s="5">
        <v>1</v>
      </c>
      <c r="P189" s="5">
        <v>1</v>
      </c>
      <c r="Q189" s="5">
        <v>1</v>
      </c>
      <c r="R189" s="5" t="s">
        <v>3</v>
      </c>
      <c r="S189" s="5" t="s">
        <v>3</v>
      </c>
      <c r="T189" s="5" t="s">
        <v>3</v>
      </c>
      <c r="U189" s="5" t="s">
        <v>3</v>
      </c>
      <c r="V189" s="5" t="s">
        <v>3</v>
      </c>
      <c r="W189" s="5" t="s">
        <v>3</v>
      </c>
      <c r="X189" s="5" t="s">
        <v>3</v>
      </c>
      <c r="Y189" s="5" t="s">
        <v>3</v>
      </c>
      <c r="Z189" s="5" t="s">
        <v>3</v>
      </c>
    </row>
    <row r="193" spans="1:5" ht="12.75">
      <c r="A193">
        <v>65</v>
      </c>
      <c r="C193">
        <v>1</v>
      </c>
      <c r="D193">
        <v>0</v>
      </c>
      <c r="E193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5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101</v>
      </c>
      <c r="F1">
        <v>0</v>
      </c>
      <c r="G1">
        <v>0</v>
      </c>
      <c r="H1">
        <v>0</v>
      </c>
      <c r="I1" t="s">
        <v>2</v>
      </c>
      <c r="K1">
        <v>1</v>
      </c>
      <c r="L1">
        <v>25238</v>
      </c>
      <c r="M1">
        <v>10</v>
      </c>
    </row>
    <row r="12" spans="1:133" ht="12.75">
      <c r="A12" s="1">
        <v>1</v>
      </c>
      <c r="B12" s="1">
        <v>51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169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0</v>
      </c>
      <c r="C14" s="1">
        <v>0</v>
      </c>
      <c r="D14" s="1">
        <v>24625873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63" ht="12.75">
      <c r="A16" s="6">
        <v>3</v>
      </c>
      <c r="B16" s="6">
        <v>1</v>
      </c>
      <c r="C16" s="6" t="s">
        <v>12</v>
      </c>
      <c r="D16" s="6" t="s">
        <v>13</v>
      </c>
      <c r="E16" s="7">
        <v>146.0766</v>
      </c>
      <c r="F16" s="7">
        <v>0</v>
      </c>
      <c r="G16" s="7">
        <v>0</v>
      </c>
      <c r="H16" s="7">
        <v>0</v>
      </c>
      <c r="I16" s="7">
        <v>146.0766</v>
      </c>
      <c r="J16" s="7">
        <v>65.31425</v>
      </c>
      <c r="AI16" s="6">
        <v>0</v>
      </c>
      <c r="AJ16" s="6">
        <v>-1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66039.69</v>
      </c>
      <c r="AU16" s="7">
        <v>551.31</v>
      </c>
      <c r="AV16" s="7">
        <v>0</v>
      </c>
      <c r="AW16" s="7">
        <v>0</v>
      </c>
      <c r="AX16" s="7">
        <v>0</v>
      </c>
      <c r="AY16" s="7">
        <v>174.13</v>
      </c>
      <c r="AZ16" s="7">
        <v>53.61</v>
      </c>
      <c r="BA16" s="7">
        <v>65314.25</v>
      </c>
      <c r="BB16" s="7">
        <v>146076.6</v>
      </c>
      <c r="BC16" s="7">
        <v>0</v>
      </c>
      <c r="BD16" s="7">
        <v>0</v>
      </c>
      <c r="BE16" s="7">
        <v>0</v>
      </c>
      <c r="BF16" s="7">
        <v>304.4153656</v>
      </c>
      <c r="BG16" s="7">
        <v>0</v>
      </c>
      <c r="BH16" s="7">
        <v>0</v>
      </c>
      <c r="BI16" s="7">
        <v>51208.05</v>
      </c>
      <c r="BJ16" s="7">
        <v>28738.26</v>
      </c>
      <c r="BK16" s="7">
        <v>146076.6</v>
      </c>
    </row>
    <row r="18" spans="1:19" ht="12.75">
      <c r="A18">
        <v>51</v>
      </c>
      <c r="E18" s="8">
        <v>146.0766</v>
      </c>
      <c r="F18" s="8">
        <v>0</v>
      </c>
      <c r="G18" s="8">
        <v>0</v>
      </c>
      <c r="H18" s="8">
        <v>0</v>
      </c>
      <c r="I18" s="8">
        <v>146.0766</v>
      </c>
      <c r="J18" s="8">
        <v>65.31425</v>
      </c>
      <c r="K18" s="8"/>
      <c r="L18" s="8"/>
      <c r="M18" s="8"/>
      <c r="N18" s="8"/>
      <c r="O18" s="8"/>
      <c r="P18" s="8"/>
      <c r="Q18" s="8"/>
      <c r="R18" s="8"/>
      <c r="S18" s="8"/>
    </row>
    <row r="20" spans="1:16" ht="12.75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66039.69</v>
      </c>
      <c r="G20" s="4" t="s">
        <v>40</v>
      </c>
      <c r="H20" s="4" t="s">
        <v>41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6" ht="12.75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551.31</v>
      </c>
      <c r="G21" s="4" t="s">
        <v>42</v>
      </c>
      <c r="H21" s="4" t="s">
        <v>43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6" ht="12.75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44</v>
      </c>
      <c r="H22" s="4" t="s">
        <v>45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6" ht="12.75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551.31</v>
      </c>
      <c r="G23" s="4" t="s">
        <v>46</v>
      </c>
      <c r="H23" s="4" t="s">
        <v>47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6" ht="12.75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551.31</v>
      </c>
      <c r="G24" s="4" t="s">
        <v>48</v>
      </c>
      <c r="H24" s="4" t="s">
        <v>49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6" ht="12.75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50</v>
      </c>
      <c r="H25" s="4" t="s">
        <v>51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6" ht="12.75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551.31</v>
      </c>
      <c r="G26" s="4" t="s">
        <v>52</v>
      </c>
      <c r="H26" s="4" t="s">
        <v>53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6" ht="12.75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54</v>
      </c>
      <c r="H27" s="4" t="s">
        <v>55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6" ht="12.75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56</v>
      </c>
      <c r="H28" s="4" t="s">
        <v>57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6" ht="12.75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58</v>
      </c>
      <c r="H29" s="4" t="s">
        <v>59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6" ht="12.75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174.13</v>
      </c>
      <c r="G30" s="4" t="s">
        <v>60</v>
      </c>
      <c r="H30" s="4" t="s">
        <v>61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6" ht="12.75">
      <c r="A31" s="4">
        <v>50</v>
      </c>
      <c r="B31" s="4">
        <v>0</v>
      </c>
      <c r="C31" s="4">
        <v>0</v>
      </c>
      <c r="D31" s="4">
        <v>1</v>
      </c>
      <c r="E31" s="4">
        <v>204</v>
      </c>
      <c r="F31" s="4">
        <v>53.61</v>
      </c>
      <c r="G31" s="4" t="s">
        <v>62</v>
      </c>
      <c r="H31" s="4" t="s">
        <v>63</v>
      </c>
      <c r="I31" s="4"/>
      <c r="J31" s="4"/>
      <c r="K31" s="4">
        <v>204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6" ht="12.75">
      <c r="A32" s="4">
        <v>50</v>
      </c>
      <c r="B32" s="4">
        <v>0</v>
      </c>
      <c r="C32" s="4">
        <v>0</v>
      </c>
      <c r="D32" s="4">
        <v>1</v>
      </c>
      <c r="E32" s="4">
        <v>205</v>
      </c>
      <c r="F32" s="4">
        <v>65314.25</v>
      </c>
      <c r="G32" s="4" t="s">
        <v>64</v>
      </c>
      <c r="H32" s="4" t="s">
        <v>65</v>
      </c>
      <c r="I32" s="4"/>
      <c r="J32" s="4"/>
      <c r="K32" s="4">
        <v>205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ht="12.75">
      <c r="A33" s="4">
        <v>50</v>
      </c>
      <c r="B33" s="4">
        <v>0</v>
      </c>
      <c r="C33" s="4">
        <v>0</v>
      </c>
      <c r="D33" s="4">
        <v>1</v>
      </c>
      <c r="E33" s="4">
        <v>214</v>
      </c>
      <c r="F33" s="4">
        <v>146076.6</v>
      </c>
      <c r="G33" s="4" t="s">
        <v>66</v>
      </c>
      <c r="H33" s="4" t="s">
        <v>67</v>
      </c>
      <c r="I33" s="4"/>
      <c r="J33" s="4"/>
      <c r="K33" s="4">
        <v>214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ht="12.75">
      <c r="A34" s="4">
        <v>50</v>
      </c>
      <c r="B34" s="4">
        <v>0</v>
      </c>
      <c r="C34" s="4">
        <v>0</v>
      </c>
      <c r="D34" s="4">
        <v>1</v>
      </c>
      <c r="E34" s="4">
        <v>215</v>
      </c>
      <c r="F34" s="4">
        <v>0</v>
      </c>
      <c r="G34" s="4" t="s">
        <v>68</v>
      </c>
      <c r="H34" s="4" t="s">
        <v>69</v>
      </c>
      <c r="I34" s="4"/>
      <c r="J34" s="4"/>
      <c r="K34" s="4">
        <v>215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ht="12.75">
      <c r="A35" s="4">
        <v>50</v>
      </c>
      <c r="B35" s="4">
        <v>0</v>
      </c>
      <c r="C35" s="4">
        <v>0</v>
      </c>
      <c r="D35" s="4">
        <v>1</v>
      </c>
      <c r="E35" s="4">
        <v>217</v>
      </c>
      <c r="F35" s="4">
        <v>0</v>
      </c>
      <c r="G35" s="4" t="s">
        <v>70</v>
      </c>
      <c r="H35" s="4" t="s">
        <v>71</v>
      </c>
      <c r="I35" s="4"/>
      <c r="J35" s="4"/>
      <c r="K35" s="4">
        <v>217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ht="12.75">
      <c r="A36" s="4">
        <v>50</v>
      </c>
      <c r="B36" s="4">
        <v>0</v>
      </c>
      <c r="C36" s="4">
        <v>0</v>
      </c>
      <c r="D36" s="4">
        <v>1</v>
      </c>
      <c r="E36" s="4">
        <v>206</v>
      </c>
      <c r="F36" s="4">
        <v>0</v>
      </c>
      <c r="G36" s="4" t="s">
        <v>72</v>
      </c>
      <c r="H36" s="4" t="s">
        <v>73</v>
      </c>
      <c r="I36" s="4"/>
      <c r="J36" s="4"/>
      <c r="K36" s="4">
        <v>206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ht="12.75">
      <c r="A37" s="4">
        <v>50</v>
      </c>
      <c r="B37" s="4">
        <v>0</v>
      </c>
      <c r="C37" s="4">
        <v>0</v>
      </c>
      <c r="D37" s="4">
        <v>1</v>
      </c>
      <c r="E37" s="4">
        <v>207</v>
      </c>
      <c r="F37" s="4">
        <v>304.4153656</v>
      </c>
      <c r="G37" s="4" t="s">
        <v>74</v>
      </c>
      <c r="H37" s="4" t="s">
        <v>75</v>
      </c>
      <c r="I37" s="4"/>
      <c r="J37" s="4"/>
      <c r="K37" s="4">
        <v>207</v>
      </c>
      <c r="L37" s="4">
        <v>18</v>
      </c>
      <c r="M37" s="4">
        <v>3</v>
      </c>
      <c r="N37" s="4" t="s">
        <v>3</v>
      </c>
      <c r="O37" s="4">
        <v>-1</v>
      </c>
      <c r="P37" s="4"/>
    </row>
    <row r="38" spans="1:16" ht="12.75">
      <c r="A38" s="4">
        <v>50</v>
      </c>
      <c r="B38" s="4">
        <v>0</v>
      </c>
      <c r="C38" s="4">
        <v>0</v>
      </c>
      <c r="D38" s="4">
        <v>1</v>
      </c>
      <c r="E38" s="4">
        <v>208</v>
      </c>
      <c r="F38" s="4">
        <v>0</v>
      </c>
      <c r="G38" s="4" t="s">
        <v>76</v>
      </c>
      <c r="H38" s="4" t="s">
        <v>77</v>
      </c>
      <c r="I38" s="4"/>
      <c r="J38" s="4"/>
      <c r="K38" s="4">
        <v>208</v>
      </c>
      <c r="L38" s="4">
        <v>19</v>
      </c>
      <c r="M38" s="4">
        <v>3</v>
      </c>
      <c r="N38" s="4" t="s">
        <v>3</v>
      </c>
      <c r="O38" s="4">
        <v>-1</v>
      </c>
      <c r="P38" s="4"/>
    </row>
    <row r="39" spans="1:16" ht="12.75">
      <c r="A39" s="4">
        <v>50</v>
      </c>
      <c r="B39" s="4">
        <v>0</v>
      </c>
      <c r="C39" s="4">
        <v>0</v>
      </c>
      <c r="D39" s="4">
        <v>1</v>
      </c>
      <c r="E39" s="4">
        <v>209</v>
      </c>
      <c r="F39" s="4">
        <v>0</v>
      </c>
      <c r="G39" s="4" t="s">
        <v>78</v>
      </c>
      <c r="H39" s="4" t="s">
        <v>79</v>
      </c>
      <c r="I39" s="4"/>
      <c r="J39" s="4"/>
      <c r="K39" s="4">
        <v>209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ht="12.75">
      <c r="A40" s="4">
        <v>50</v>
      </c>
      <c r="B40" s="4">
        <v>0</v>
      </c>
      <c r="C40" s="4">
        <v>0</v>
      </c>
      <c r="D40" s="4">
        <v>1</v>
      </c>
      <c r="E40" s="4">
        <v>210</v>
      </c>
      <c r="F40" s="4">
        <v>51208.05</v>
      </c>
      <c r="G40" s="4" t="s">
        <v>80</v>
      </c>
      <c r="H40" s="4" t="s">
        <v>81</v>
      </c>
      <c r="I40" s="4"/>
      <c r="J40" s="4"/>
      <c r="K40" s="4">
        <v>210</v>
      </c>
      <c r="L40" s="4">
        <v>21</v>
      </c>
      <c r="M40" s="4">
        <v>3</v>
      </c>
      <c r="N40" s="4" t="s">
        <v>3</v>
      </c>
      <c r="O40" s="4">
        <v>2</v>
      </c>
      <c r="P40" s="4"/>
    </row>
    <row r="41" spans="1:16" ht="12.75">
      <c r="A41" s="4">
        <v>50</v>
      </c>
      <c r="B41" s="4">
        <v>0</v>
      </c>
      <c r="C41" s="4">
        <v>0</v>
      </c>
      <c r="D41" s="4">
        <v>1</v>
      </c>
      <c r="E41" s="4">
        <v>211</v>
      </c>
      <c r="F41" s="4">
        <v>28738.26</v>
      </c>
      <c r="G41" s="4" t="s">
        <v>82</v>
      </c>
      <c r="H41" s="4" t="s">
        <v>83</v>
      </c>
      <c r="I41" s="4"/>
      <c r="J41" s="4"/>
      <c r="K41" s="4">
        <v>211</v>
      </c>
      <c r="L41" s="4">
        <v>22</v>
      </c>
      <c r="M41" s="4">
        <v>3</v>
      </c>
      <c r="N41" s="4" t="s">
        <v>3</v>
      </c>
      <c r="O41" s="4">
        <v>2</v>
      </c>
      <c r="P41" s="4"/>
    </row>
    <row r="42" spans="1:16" ht="12.75">
      <c r="A42" s="4">
        <v>50</v>
      </c>
      <c r="B42" s="4">
        <v>0</v>
      </c>
      <c r="C42" s="4">
        <v>0</v>
      </c>
      <c r="D42" s="4">
        <v>1</v>
      </c>
      <c r="E42" s="4">
        <v>224</v>
      </c>
      <c r="F42" s="4">
        <v>146076.6</v>
      </c>
      <c r="G42" s="4" t="s">
        <v>84</v>
      </c>
      <c r="H42" s="4" t="s">
        <v>85</v>
      </c>
      <c r="I42" s="4"/>
      <c r="J42" s="4"/>
      <c r="K42" s="4">
        <v>224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ht="12.75">
      <c r="A43" s="4">
        <v>50</v>
      </c>
      <c r="B43" s="4">
        <v>1</v>
      </c>
      <c r="C43" s="4">
        <v>0</v>
      </c>
      <c r="D43" s="4">
        <v>2</v>
      </c>
      <c r="E43" s="4">
        <v>0</v>
      </c>
      <c r="F43" s="4">
        <v>0</v>
      </c>
      <c r="G43" s="4" t="s">
        <v>90</v>
      </c>
      <c r="H43" s="4" t="s">
        <v>91</v>
      </c>
      <c r="I43" s="4"/>
      <c r="J43" s="4"/>
      <c r="K43" s="4">
        <v>212</v>
      </c>
      <c r="L43" s="4">
        <v>24</v>
      </c>
      <c r="M43" s="4">
        <v>0</v>
      </c>
      <c r="N43" s="4" t="s">
        <v>3</v>
      </c>
      <c r="O43" s="4">
        <v>2</v>
      </c>
      <c r="P43" s="4"/>
    </row>
    <row r="44" spans="1:16" ht="12.75">
      <c r="A44" s="4">
        <v>50</v>
      </c>
      <c r="B44" s="4">
        <v>1</v>
      </c>
      <c r="C44" s="4">
        <v>0</v>
      </c>
      <c r="D44" s="4">
        <v>2</v>
      </c>
      <c r="E44" s="4">
        <v>0</v>
      </c>
      <c r="F44" s="4">
        <v>146076.6</v>
      </c>
      <c r="G44" s="4" t="s">
        <v>92</v>
      </c>
      <c r="H44" s="4" t="s">
        <v>93</v>
      </c>
      <c r="I44" s="4"/>
      <c r="J44" s="4"/>
      <c r="K44" s="4">
        <v>212</v>
      </c>
      <c r="L44" s="4">
        <v>25</v>
      </c>
      <c r="M44" s="4">
        <v>0</v>
      </c>
      <c r="N44" s="4" t="s">
        <v>3</v>
      </c>
      <c r="O44" s="4">
        <v>2</v>
      </c>
      <c r="P44" s="4"/>
    </row>
    <row r="45" spans="1:16" ht="12.75">
      <c r="A45" s="4">
        <v>50</v>
      </c>
      <c r="B45" s="4">
        <v>1</v>
      </c>
      <c r="C45" s="4">
        <v>0</v>
      </c>
      <c r="D45" s="4">
        <v>2</v>
      </c>
      <c r="E45" s="4">
        <v>0</v>
      </c>
      <c r="F45" s="4">
        <v>26293.79</v>
      </c>
      <c r="G45" s="4" t="s">
        <v>94</v>
      </c>
      <c r="H45" s="4" t="s">
        <v>95</v>
      </c>
      <c r="I45" s="4"/>
      <c r="J45" s="4"/>
      <c r="K45" s="4">
        <v>212</v>
      </c>
      <c r="L45" s="4">
        <v>26</v>
      </c>
      <c r="M45" s="4">
        <v>0</v>
      </c>
      <c r="N45" s="4" t="s">
        <v>3</v>
      </c>
      <c r="O45" s="4">
        <v>2</v>
      </c>
      <c r="P45" s="4"/>
    </row>
    <row r="46" spans="1:16" ht="12.75">
      <c r="A46" s="4">
        <v>50</v>
      </c>
      <c r="B46" s="4">
        <v>1</v>
      </c>
      <c r="C46" s="4">
        <v>0</v>
      </c>
      <c r="D46" s="4">
        <v>2</v>
      </c>
      <c r="E46" s="4">
        <v>0</v>
      </c>
      <c r="F46" s="4">
        <v>172370.39</v>
      </c>
      <c r="G46" s="4" t="s">
        <v>96</v>
      </c>
      <c r="H46" s="4" t="s">
        <v>97</v>
      </c>
      <c r="I46" s="4"/>
      <c r="J46" s="4"/>
      <c r="K46" s="4">
        <v>212</v>
      </c>
      <c r="L46" s="4">
        <v>27</v>
      </c>
      <c r="M46" s="4">
        <v>0</v>
      </c>
      <c r="N46" s="4" t="s">
        <v>3</v>
      </c>
      <c r="O46" s="4">
        <v>2</v>
      </c>
      <c r="P46" s="4"/>
    </row>
    <row r="48" ht="12.75">
      <c r="A48">
        <v>-1</v>
      </c>
    </row>
    <row r="51" spans="1:15" ht="12.75">
      <c r="A51" s="3">
        <v>75</v>
      </c>
      <c r="B51" s="3" t="s">
        <v>98</v>
      </c>
      <c r="C51" s="3">
        <v>2015</v>
      </c>
      <c r="D51" s="3">
        <v>0</v>
      </c>
      <c r="E51" s="3">
        <v>10</v>
      </c>
      <c r="F51" s="3">
        <v>0</v>
      </c>
      <c r="G51" s="3">
        <v>0</v>
      </c>
      <c r="H51" s="3">
        <v>2</v>
      </c>
      <c r="I51" s="3">
        <v>1</v>
      </c>
      <c r="J51" s="3">
        <v>1</v>
      </c>
      <c r="K51" s="3">
        <v>99</v>
      </c>
      <c r="L51" s="3">
        <v>70</v>
      </c>
      <c r="M51" s="3">
        <v>0</v>
      </c>
      <c r="N51" s="3">
        <v>24625873</v>
      </c>
      <c r="O51" s="3">
        <v>1</v>
      </c>
    </row>
    <row r="52" spans="1:26" ht="12.75">
      <c r="A52" s="5">
        <v>1</v>
      </c>
      <c r="B52" s="5" t="s">
        <v>99</v>
      </c>
      <c r="C52" s="5" t="s">
        <v>100</v>
      </c>
      <c r="D52" s="5">
        <v>2015</v>
      </c>
      <c r="E52" s="5">
        <v>10</v>
      </c>
      <c r="F52" s="5">
        <v>1</v>
      </c>
      <c r="G52" s="5">
        <v>1</v>
      </c>
      <c r="H52" s="5">
        <v>0</v>
      </c>
      <c r="I52" s="5">
        <v>2</v>
      </c>
      <c r="J52" s="5">
        <v>1</v>
      </c>
      <c r="K52" s="5">
        <v>1</v>
      </c>
      <c r="L52" s="5">
        <v>1</v>
      </c>
      <c r="M52" s="5">
        <v>1</v>
      </c>
      <c r="N52" s="5">
        <v>1</v>
      </c>
      <c r="O52" s="5">
        <v>1</v>
      </c>
      <c r="P52" s="5">
        <v>1</v>
      </c>
      <c r="Q52" s="5">
        <v>1</v>
      </c>
      <c r="R52" s="5" t="s">
        <v>3</v>
      </c>
      <c r="S52" s="5" t="s">
        <v>3</v>
      </c>
      <c r="T52" s="5" t="s">
        <v>3</v>
      </c>
      <c r="U52" s="5" t="s">
        <v>3</v>
      </c>
      <c r="V52" s="5" t="s">
        <v>3</v>
      </c>
      <c r="W52" s="5" t="s">
        <v>3</v>
      </c>
      <c r="X52" s="5" t="s">
        <v>3</v>
      </c>
      <c r="Y52" s="5" t="s">
        <v>3</v>
      </c>
      <c r="Z52" s="5" t="s">
        <v>3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B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6" ht="12.75">
      <c r="A1">
        <f>ROW(Source!A28)</f>
        <v>28</v>
      </c>
      <c r="B1">
        <v>24625873</v>
      </c>
      <c r="C1">
        <v>29222567</v>
      </c>
      <c r="D1">
        <v>7157835</v>
      </c>
      <c r="E1">
        <v>7157832</v>
      </c>
      <c r="F1">
        <v>1</v>
      </c>
      <c r="G1">
        <v>7157832</v>
      </c>
      <c r="H1">
        <v>1</v>
      </c>
      <c r="I1" t="s">
        <v>102</v>
      </c>
      <c r="K1" t="s">
        <v>103</v>
      </c>
      <c r="L1">
        <v>1191</v>
      </c>
      <c r="N1">
        <v>1013</v>
      </c>
      <c r="O1" t="s">
        <v>104</v>
      </c>
      <c r="P1" t="s">
        <v>104</v>
      </c>
      <c r="Q1">
        <v>1</v>
      </c>
      <c r="W1">
        <v>0</v>
      </c>
      <c r="X1">
        <v>946207192</v>
      </c>
      <c r="Y1">
        <v>6.3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T1">
        <v>6.3</v>
      </c>
      <c r="AV1">
        <v>1</v>
      </c>
      <c r="AW1">
        <v>2</v>
      </c>
      <c r="AX1">
        <v>29222569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27.738899999999997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ht="12.75">
      <c r="A2">
        <f>ROW(Source!A28)</f>
        <v>28</v>
      </c>
      <c r="B2">
        <v>24625873</v>
      </c>
      <c r="C2">
        <v>29222567</v>
      </c>
      <c r="D2">
        <v>7230943</v>
      </c>
      <c r="E2">
        <v>1</v>
      </c>
      <c r="F2">
        <v>1</v>
      </c>
      <c r="G2">
        <v>7157832</v>
      </c>
      <c r="H2">
        <v>2</v>
      </c>
      <c r="I2" t="s">
        <v>25</v>
      </c>
      <c r="J2" t="s">
        <v>28</v>
      </c>
      <c r="K2" t="s">
        <v>26</v>
      </c>
      <c r="L2">
        <v>1368</v>
      </c>
      <c r="N2">
        <v>1011</v>
      </c>
      <c r="O2" t="s">
        <v>27</v>
      </c>
      <c r="P2" t="s">
        <v>27</v>
      </c>
      <c r="Q2">
        <v>1</v>
      </c>
      <c r="W2">
        <v>0</v>
      </c>
      <c r="X2">
        <v>-1370831617</v>
      </c>
      <c r="Y2">
        <v>3.5</v>
      </c>
      <c r="AA2">
        <v>0</v>
      </c>
      <c r="AB2">
        <v>63.34</v>
      </c>
      <c r="AC2">
        <v>19.5</v>
      </c>
      <c r="AD2">
        <v>0</v>
      </c>
      <c r="AE2">
        <v>0</v>
      </c>
      <c r="AF2">
        <v>12.5</v>
      </c>
      <c r="AG2">
        <v>1.12</v>
      </c>
      <c r="AH2">
        <v>0</v>
      </c>
      <c r="AI2">
        <v>1</v>
      </c>
      <c r="AJ2">
        <v>4.84</v>
      </c>
      <c r="AK2">
        <v>16.63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T2">
        <v>3.5</v>
      </c>
      <c r="AV2">
        <v>0</v>
      </c>
      <c r="AW2">
        <v>2</v>
      </c>
      <c r="AX2">
        <v>29222571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15.410499999999999</v>
      </c>
      <c r="CY2">
        <f>AB2</f>
        <v>63.34</v>
      </c>
      <c r="CZ2">
        <f>AF2</f>
        <v>12.5</v>
      </c>
      <c r="DA2">
        <f>AJ2</f>
        <v>4.84</v>
      </c>
      <c r="DB2">
        <v>0</v>
      </c>
    </row>
    <row r="3" spans="1:106" ht="12.75">
      <c r="A3">
        <f>ROW(Source!A28)</f>
        <v>28</v>
      </c>
      <c r="B3">
        <v>24625873</v>
      </c>
      <c r="C3">
        <v>29222567</v>
      </c>
      <c r="D3">
        <v>7182707</v>
      </c>
      <c r="E3">
        <v>7157832</v>
      </c>
      <c r="F3">
        <v>1</v>
      </c>
      <c r="G3">
        <v>7157832</v>
      </c>
      <c r="H3">
        <v>3</v>
      </c>
      <c r="I3" t="s">
        <v>105</v>
      </c>
      <c r="K3" t="s">
        <v>106</v>
      </c>
      <c r="L3">
        <v>1344</v>
      </c>
      <c r="N3">
        <v>1008</v>
      </c>
      <c r="O3" t="s">
        <v>107</v>
      </c>
      <c r="P3" t="s">
        <v>107</v>
      </c>
      <c r="Q3">
        <v>1</v>
      </c>
      <c r="W3">
        <v>0</v>
      </c>
      <c r="X3">
        <v>-360884371</v>
      </c>
      <c r="Y3">
        <v>0.16</v>
      </c>
      <c r="AA3">
        <v>1</v>
      </c>
      <c r="AB3">
        <v>0</v>
      </c>
      <c r="AC3">
        <v>0</v>
      </c>
      <c r="AD3">
        <v>0</v>
      </c>
      <c r="AE3">
        <v>1</v>
      </c>
      <c r="AF3">
        <v>0</v>
      </c>
      <c r="AG3">
        <v>0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T3">
        <v>0.16</v>
      </c>
      <c r="AV3">
        <v>0</v>
      </c>
      <c r="AW3">
        <v>2</v>
      </c>
      <c r="AX3">
        <v>29222575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Y3*Source!I28</f>
        <v>0.70448</v>
      </c>
      <c r="CY3">
        <f>AA3</f>
        <v>1</v>
      </c>
      <c r="CZ3">
        <f>AE3</f>
        <v>1</v>
      </c>
      <c r="DA3">
        <f>AI3</f>
        <v>1</v>
      </c>
      <c r="DB3">
        <v>0</v>
      </c>
    </row>
    <row r="4" spans="1:106" ht="12.75">
      <c r="A4">
        <f>ROW(Source!A28)</f>
        <v>28</v>
      </c>
      <c r="B4">
        <v>24625873</v>
      </c>
      <c r="C4">
        <v>29222567</v>
      </c>
      <c r="D4">
        <v>7182455</v>
      </c>
      <c r="E4">
        <v>7157832</v>
      </c>
      <c r="F4">
        <v>1</v>
      </c>
      <c r="G4">
        <v>7157832</v>
      </c>
      <c r="H4">
        <v>3</v>
      </c>
      <c r="I4" t="s">
        <v>108</v>
      </c>
      <c r="K4" t="s">
        <v>109</v>
      </c>
      <c r="L4">
        <v>1346</v>
      </c>
      <c r="N4">
        <v>1009</v>
      </c>
      <c r="O4" t="s">
        <v>110</v>
      </c>
      <c r="P4" t="s">
        <v>110</v>
      </c>
      <c r="Q4">
        <v>1</v>
      </c>
      <c r="W4">
        <v>0</v>
      </c>
      <c r="X4">
        <v>1342097217</v>
      </c>
      <c r="Y4">
        <v>0.79</v>
      </c>
      <c r="AA4">
        <v>12.74</v>
      </c>
      <c r="AB4">
        <v>0</v>
      </c>
      <c r="AC4">
        <v>0</v>
      </c>
      <c r="AD4">
        <v>0</v>
      </c>
      <c r="AE4">
        <v>12.7057</v>
      </c>
      <c r="AF4">
        <v>0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T4">
        <v>0.79</v>
      </c>
      <c r="AV4">
        <v>0</v>
      </c>
      <c r="AW4">
        <v>2</v>
      </c>
      <c r="AX4">
        <v>29222573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Y4*Source!I28</f>
        <v>3.47837</v>
      </c>
      <c r="CY4">
        <f>AA4</f>
        <v>12.74</v>
      </c>
      <c r="CZ4">
        <f>AE4</f>
        <v>12.7057</v>
      </c>
      <c r="DA4">
        <f>AI4</f>
        <v>1</v>
      </c>
      <c r="DB4">
        <v>0</v>
      </c>
    </row>
    <row r="5" spans="1:106" ht="12.75">
      <c r="A5">
        <f>ROW(Source!A30)</f>
        <v>30</v>
      </c>
      <c r="B5">
        <v>24625873</v>
      </c>
      <c r="C5">
        <v>29222332</v>
      </c>
      <c r="D5">
        <v>7157835</v>
      </c>
      <c r="E5">
        <v>7157832</v>
      </c>
      <c r="F5">
        <v>1</v>
      </c>
      <c r="G5">
        <v>7157832</v>
      </c>
      <c r="H5">
        <v>1</v>
      </c>
      <c r="I5" t="s">
        <v>102</v>
      </c>
      <c r="K5" t="s">
        <v>103</v>
      </c>
      <c r="L5">
        <v>1191</v>
      </c>
      <c r="N5">
        <v>1013</v>
      </c>
      <c r="O5" t="s">
        <v>104</v>
      </c>
      <c r="P5" t="s">
        <v>104</v>
      </c>
      <c r="Q5">
        <v>1</v>
      </c>
      <c r="W5">
        <v>0</v>
      </c>
      <c r="X5">
        <v>946207192</v>
      </c>
      <c r="Y5">
        <v>3.73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T5">
        <v>3.73</v>
      </c>
      <c r="AV5">
        <v>1</v>
      </c>
      <c r="AW5">
        <v>2</v>
      </c>
      <c r="AX5">
        <v>29222336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Y5*Source!I30</f>
        <v>11.19</v>
      </c>
      <c r="CY5">
        <f>AD5</f>
        <v>0</v>
      </c>
      <c r="CZ5">
        <f>AH5</f>
        <v>0</v>
      </c>
      <c r="DA5">
        <f>AL5</f>
        <v>1</v>
      </c>
      <c r="DB5">
        <v>0</v>
      </c>
    </row>
    <row r="6" spans="1:106" ht="12.75">
      <c r="A6">
        <f>ROW(Source!A31)</f>
        <v>31</v>
      </c>
      <c r="B6">
        <v>24625873</v>
      </c>
      <c r="C6">
        <v>29222338</v>
      </c>
      <c r="D6">
        <v>7157835</v>
      </c>
      <c r="E6">
        <v>7157832</v>
      </c>
      <c r="F6">
        <v>1</v>
      </c>
      <c r="G6">
        <v>7157832</v>
      </c>
      <c r="H6">
        <v>1</v>
      </c>
      <c r="I6" t="s">
        <v>102</v>
      </c>
      <c r="K6" t="s">
        <v>103</v>
      </c>
      <c r="L6">
        <v>1191</v>
      </c>
      <c r="N6">
        <v>1013</v>
      </c>
      <c r="O6" t="s">
        <v>104</v>
      </c>
      <c r="P6" t="s">
        <v>104</v>
      </c>
      <c r="Q6">
        <v>1</v>
      </c>
      <c r="W6">
        <v>0</v>
      </c>
      <c r="X6">
        <v>946207192</v>
      </c>
      <c r="Y6">
        <v>2.32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T6">
        <v>2.32</v>
      </c>
      <c r="AV6">
        <v>1</v>
      </c>
      <c r="AW6">
        <v>2</v>
      </c>
      <c r="AX6">
        <v>29222342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Y6*Source!I31</f>
        <v>41.76</v>
      </c>
      <c r="CY6">
        <f>AD6</f>
        <v>0</v>
      </c>
      <c r="CZ6">
        <f>AH6</f>
        <v>0</v>
      </c>
      <c r="DA6">
        <f>AL6</f>
        <v>1</v>
      </c>
      <c r="DB6">
        <v>0</v>
      </c>
    </row>
    <row r="7" spans="1:106" ht="12.75">
      <c r="A7">
        <f>ROW(Source!A63)</f>
        <v>63</v>
      </c>
      <c r="B7">
        <v>24625873</v>
      </c>
      <c r="C7">
        <v>29222418</v>
      </c>
      <c r="D7">
        <v>7157835</v>
      </c>
      <c r="E7">
        <v>7157832</v>
      </c>
      <c r="F7">
        <v>1</v>
      </c>
      <c r="G7">
        <v>7157832</v>
      </c>
      <c r="H7">
        <v>1</v>
      </c>
      <c r="I7" t="s">
        <v>102</v>
      </c>
      <c r="K7" t="s">
        <v>103</v>
      </c>
      <c r="L7">
        <v>1191</v>
      </c>
      <c r="N7">
        <v>1013</v>
      </c>
      <c r="O7" t="s">
        <v>104</v>
      </c>
      <c r="P7" t="s">
        <v>104</v>
      </c>
      <c r="Q7">
        <v>1</v>
      </c>
      <c r="W7">
        <v>0</v>
      </c>
      <c r="X7">
        <v>946207192</v>
      </c>
      <c r="Y7">
        <v>6.3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T7">
        <v>6.3</v>
      </c>
      <c r="AV7">
        <v>1</v>
      </c>
      <c r="AW7">
        <v>2</v>
      </c>
      <c r="AX7">
        <v>29222583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Y7*Source!I63</f>
        <v>43.696799999999996</v>
      </c>
      <c r="CY7">
        <f>AD7</f>
        <v>0</v>
      </c>
      <c r="CZ7">
        <f>AH7</f>
        <v>0</v>
      </c>
      <c r="DA7">
        <f>AL7</f>
        <v>1</v>
      </c>
      <c r="DB7">
        <v>0</v>
      </c>
    </row>
    <row r="8" spans="1:106" ht="12.75">
      <c r="A8">
        <f>ROW(Source!A63)</f>
        <v>63</v>
      </c>
      <c r="B8">
        <v>24625873</v>
      </c>
      <c r="C8">
        <v>29222418</v>
      </c>
      <c r="D8">
        <v>7230943</v>
      </c>
      <c r="E8">
        <v>1</v>
      </c>
      <c r="F8">
        <v>1</v>
      </c>
      <c r="G8">
        <v>7157832</v>
      </c>
      <c r="H8">
        <v>2</v>
      </c>
      <c r="I8" t="s">
        <v>25</v>
      </c>
      <c r="J8" t="s">
        <v>28</v>
      </c>
      <c r="K8" t="s">
        <v>26</v>
      </c>
      <c r="L8">
        <v>1368</v>
      </c>
      <c r="N8">
        <v>1011</v>
      </c>
      <c r="O8" t="s">
        <v>27</v>
      </c>
      <c r="P8" t="s">
        <v>27</v>
      </c>
      <c r="Q8">
        <v>1</v>
      </c>
      <c r="W8">
        <v>0</v>
      </c>
      <c r="X8">
        <v>-1370831617</v>
      </c>
      <c r="Y8">
        <v>3.5</v>
      </c>
      <c r="AA8">
        <v>0</v>
      </c>
      <c r="AB8">
        <v>63.34</v>
      </c>
      <c r="AC8">
        <v>19.5</v>
      </c>
      <c r="AD8">
        <v>0</v>
      </c>
      <c r="AE8">
        <v>0</v>
      </c>
      <c r="AF8">
        <v>12.5</v>
      </c>
      <c r="AG8">
        <v>1.12</v>
      </c>
      <c r="AH8">
        <v>0</v>
      </c>
      <c r="AI8">
        <v>1</v>
      </c>
      <c r="AJ8">
        <v>4.84</v>
      </c>
      <c r="AK8">
        <v>16.63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T8">
        <v>3.5</v>
      </c>
      <c r="AV8">
        <v>0</v>
      </c>
      <c r="AW8">
        <v>2</v>
      </c>
      <c r="AX8">
        <v>29222585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Y8*Source!I63</f>
        <v>24.276</v>
      </c>
      <c r="CY8">
        <f>AB8</f>
        <v>63.34</v>
      </c>
      <c r="CZ8">
        <f>AF8</f>
        <v>12.5</v>
      </c>
      <c r="DA8">
        <f>AJ8</f>
        <v>4.84</v>
      </c>
      <c r="DB8">
        <v>0</v>
      </c>
    </row>
    <row r="9" spans="1:106" ht="12.75">
      <c r="A9">
        <f>ROW(Source!A63)</f>
        <v>63</v>
      </c>
      <c r="B9">
        <v>24625873</v>
      </c>
      <c r="C9">
        <v>29222418</v>
      </c>
      <c r="D9">
        <v>7182707</v>
      </c>
      <c r="E9">
        <v>7157832</v>
      </c>
      <c r="F9">
        <v>1</v>
      </c>
      <c r="G9">
        <v>7157832</v>
      </c>
      <c r="H9">
        <v>3</v>
      </c>
      <c r="I9" t="s">
        <v>105</v>
      </c>
      <c r="K9" t="s">
        <v>106</v>
      </c>
      <c r="L9">
        <v>1344</v>
      </c>
      <c r="N9">
        <v>1008</v>
      </c>
      <c r="O9" t="s">
        <v>107</v>
      </c>
      <c r="P9" t="s">
        <v>107</v>
      </c>
      <c r="Q9">
        <v>1</v>
      </c>
      <c r="W9">
        <v>0</v>
      </c>
      <c r="X9">
        <v>-360884371</v>
      </c>
      <c r="Y9">
        <v>0.16</v>
      </c>
      <c r="AA9">
        <v>1</v>
      </c>
      <c r="AB9">
        <v>0</v>
      </c>
      <c r="AC9">
        <v>0</v>
      </c>
      <c r="AD9">
        <v>0</v>
      </c>
      <c r="AE9">
        <v>1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T9">
        <v>0.16</v>
      </c>
      <c r="AV9">
        <v>0</v>
      </c>
      <c r="AW9">
        <v>2</v>
      </c>
      <c r="AX9">
        <v>29222589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Y9*Source!I63</f>
        <v>1.10976</v>
      </c>
      <c r="CY9">
        <f>AA9</f>
        <v>1</v>
      </c>
      <c r="CZ9">
        <f>AE9</f>
        <v>1</v>
      </c>
      <c r="DA9">
        <f>AI9</f>
        <v>1</v>
      </c>
      <c r="DB9">
        <v>0</v>
      </c>
    </row>
    <row r="10" spans="1:106" ht="12.75">
      <c r="A10">
        <f>ROW(Source!A63)</f>
        <v>63</v>
      </c>
      <c r="B10">
        <v>24625873</v>
      </c>
      <c r="C10">
        <v>29222418</v>
      </c>
      <c r="D10">
        <v>7182455</v>
      </c>
      <c r="E10">
        <v>7157832</v>
      </c>
      <c r="F10">
        <v>1</v>
      </c>
      <c r="G10">
        <v>7157832</v>
      </c>
      <c r="H10">
        <v>3</v>
      </c>
      <c r="I10" t="s">
        <v>108</v>
      </c>
      <c r="K10" t="s">
        <v>109</v>
      </c>
      <c r="L10">
        <v>1346</v>
      </c>
      <c r="N10">
        <v>1009</v>
      </c>
      <c r="O10" t="s">
        <v>110</v>
      </c>
      <c r="P10" t="s">
        <v>110</v>
      </c>
      <c r="Q10">
        <v>1</v>
      </c>
      <c r="W10">
        <v>0</v>
      </c>
      <c r="X10">
        <v>1342097217</v>
      </c>
      <c r="Y10">
        <v>0.79</v>
      </c>
      <c r="AA10">
        <v>12.74</v>
      </c>
      <c r="AB10">
        <v>0</v>
      </c>
      <c r="AC10">
        <v>0</v>
      </c>
      <c r="AD10">
        <v>0</v>
      </c>
      <c r="AE10">
        <v>12.7057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0.79</v>
      </c>
      <c r="AV10">
        <v>0</v>
      </c>
      <c r="AW10">
        <v>2</v>
      </c>
      <c r="AX10">
        <v>29222587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Y10*Source!I63</f>
        <v>5.47944</v>
      </c>
      <c r="CY10">
        <f>AA10</f>
        <v>12.74</v>
      </c>
      <c r="CZ10">
        <f>AE10</f>
        <v>12.7057</v>
      </c>
      <c r="DA10">
        <f>AI10</f>
        <v>1</v>
      </c>
      <c r="DB10">
        <v>0</v>
      </c>
    </row>
    <row r="11" spans="1:106" ht="12.75">
      <c r="A11">
        <f>ROW(Source!A65)</f>
        <v>65</v>
      </c>
      <c r="B11">
        <v>24625873</v>
      </c>
      <c r="C11">
        <v>29222439</v>
      </c>
      <c r="D11">
        <v>7157835</v>
      </c>
      <c r="E11">
        <v>7157832</v>
      </c>
      <c r="F11">
        <v>1</v>
      </c>
      <c r="G11">
        <v>7157832</v>
      </c>
      <c r="H11">
        <v>1</v>
      </c>
      <c r="I11" t="s">
        <v>102</v>
      </c>
      <c r="K11" t="s">
        <v>103</v>
      </c>
      <c r="L11">
        <v>1191</v>
      </c>
      <c r="N11">
        <v>1013</v>
      </c>
      <c r="O11" t="s">
        <v>104</v>
      </c>
      <c r="P11" t="s">
        <v>104</v>
      </c>
      <c r="Q11">
        <v>1</v>
      </c>
      <c r="W11">
        <v>0</v>
      </c>
      <c r="X11">
        <v>946207192</v>
      </c>
      <c r="Y11">
        <v>3.73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3.73</v>
      </c>
      <c r="AV11">
        <v>1</v>
      </c>
      <c r="AW11">
        <v>2</v>
      </c>
      <c r="AX11">
        <v>29222443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Y11*Source!I65</f>
        <v>11.19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ht="12.75">
      <c r="A12">
        <f>ROW(Source!A66)</f>
        <v>66</v>
      </c>
      <c r="B12">
        <v>24625873</v>
      </c>
      <c r="C12">
        <v>29222445</v>
      </c>
      <c r="D12">
        <v>7157835</v>
      </c>
      <c r="E12">
        <v>7157832</v>
      </c>
      <c r="F12">
        <v>1</v>
      </c>
      <c r="G12">
        <v>7157832</v>
      </c>
      <c r="H12">
        <v>1</v>
      </c>
      <c r="I12" t="s">
        <v>102</v>
      </c>
      <c r="K12" t="s">
        <v>103</v>
      </c>
      <c r="L12">
        <v>1191</v>
      </c>
      <c r="N12">
        <v>1013</v>
      </c>
      <c r="O12" t="s">
        <v>104</v>
      </c>
      <c r="P12" t="s">
        <v>104</v>
      </c>
      <c r="Q12">
        <v>1</v>
      </c>
      <c r="W12">
        <v>0</v>
      </c>
      <c r="X12">
        <v>946207192</v>
      </c>
      <c r="Y12">
        <v>2.32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2.32</v>
      </c>
      <c r="AV12">
        <v>1</v>
      </c>
      <c r="AW12">
        <v>2</v>
      </c>
      <c r="AX12">
        <v>29222449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Y12*Source!I66</f>
        <v>67.28</v>
      </c>
      <c r="CY12">
        <f>AD12</f>
        <v>0</v>
      </c>
      <c r="CZ12">
        <f>AH12</f>
        <v>0</v>
      </c>
      <c r="DA12">
        <f>AL12</f>
        <v>1</v>
      </c>
      <c r="DB12">
        <v>0</v>
      </c>
    </row>
    <row r="13" spans="1:106" ht="12.75">
      <c r="A13">
        <f>ROW(Source!A98)</f>
        <v>98</v>
      </c>
      <c r="B13">
        <v>24625873</v>
      </c>
      <c r="C13">
        <v>29222525</v>
      </c>
      <c r="D13">
        <v>7157835</v>
      </c>
      <c r="E13">
        <v>7157832</v>
      </c>
      <c r="F13">
        <v>1</v>
      </c>
      <c r="G13">
        <v>7157832</v>
      </c>
      <c r="H13">
        <v>1</v>
      </c>
      <c r="I13" t="s">
        <v>102</v>
      </c>
      <c r="K13" t="s">
        <v>103</v>
      </c>
      <c r="L13">
        <v>1191</v>
      </c>
      <c r="N13">
        <v>1013</v>
      </c>
      <c r="O13" t="s">
        <v>104</v>
      </c>
      <c r="P13" t="s">
        <v>104</v>
      </c>
      <c r="Q13">
        <v>1</v>
      </c>
      <c r="W13">
        <v>0</v>
      </c>
      <c r="X13">
        <v>946207192</v>
      </c>
      <c r="Y13">
        <v>6.3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6.3</v>
      </c>
      <c r="AV13">
        <v>1</v>
      </c>
      <c r="AW13">
        <v>2</v>
      </c>
      <c r="AX13">
        <v>29222593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Y13*Source!I98</f>
        <v>38.7891</v>
      </c>
      <c r="CY13">
        <f>AD13</f>
        <v>0</v>
      </c>
      <c r="CZ13">
        <f>AH13</f>
        <v>0</v>
      </c>
      <c r="DA13">
        <f>AL13</f>
        <v>1</v>
      </c>
      <c r="DB13">
        <v>0</v>
      </c>
    </row>
    <row r="14" spans="1:106" ht="12.75">
      <c r="A14">
        <f>ROW(Source!A98)</f>
        <v>98</v>
      </c>
      <c r="B14">
        <v>24625873</v>
      </c>
      <c r="C14">
        <v>29222525</v>
      </c>
      <c r="D14">
        <v>7230943</v>
      </c>
      <c r="E14">
        <v>1</v>
      </c>
      <c r="F14">
        <v>1</v>
      </c>
      <c r="G14">
        <v>7157832</v>
      </c>
      <c r="H14">
        <v>2</v>
      </c>
      <c r="I14" t="s">
        <v>25</v>
      </c>
      <c r="J14" t="s">
        <v>28</v>
      </c>
      <c r="K14" t="s">
        <v>26</v>
      </c>
      <c r="L14">
        <v>1368</v>
      </c>
      <c r="N14">
        <v>1011</v>
      </c>
      <c r="O14" t="s">
        <v>27</v>
      </c>
      <c r="P14" t="s">
        <v>27</v>
      </c>
      <c r="Q14">
        <v>1</v>
      </c>
      <c r="W14">
        <v>0</v>
      </c>
      <c r="X14">
        <v>-1370831617</v>
      </c>
      <c r="Y14">
        <v>3.5</v>
      </c>
      <c r="AA14">
        <v>0</v>
      </c>
      <c r="AB14">
        <v>63.34</v>
      </c>
      <c r="AC14">
        <v>19.5</v>
      </c>
      <c r="AD14">
        <v>0</v>
      </c>
      <c r="AE14">
        <v>0</v>
      </c>
      <c r="AF14">
        <v>12.5</v>
      </c>
      <c r="AG14">
        <v>1.12</v>
      </c>
      <c r="AH14">
        <v>0</v>
      </c>
      <c r="AI14">
        <v>1</v>
      </c>
      <c r="AJ14">
        <v>4.84</v>
      </c>
      <c r="AK14">
        <v>16.63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3.5</v>
      </c>
      <c r="AV14">
        <v>0</v>
      </c>
      <c r="AW14">
        <v>2</v>
      </c>
      <c r="AX14">
        <v>29222595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Y14*Source!I98</f>
        <v>21.549500000000002</v>
      </c>
      <c r="CY14">
        <f>AB14</f>
        <v>63.34</v>
      </c>
      <c r="CZ14">
        <f>AF14</f>
        <v>12.5</v>
      </c>
      <c r="DA14">
        <f>AJ14</f>
        <v>4.84</v>
      </c>
      <c r="DB14">
        <v>0</v>
      </c>
    </row>
    <row r="15" spans="1:106" ht="12.75">
      <c r="A15">
        <f>ROW(Source!A98)</f>
        <v>98</v>
      </c>
      <c r="B15">
        <v>24625873</v>
      </c>
      <c r="C15">
        <v>29222525</v>
      </c>
      <c r="D15">
        <v>7182707</v>
      </c>
      <c r="E15">
        <v>7157832</v>
      </c>
      <c r="F15">
        <v>1</v>
      </c>
      <c r="G15">
        <v>7157832</v>
      </c>
      <c r="H15">
        <v>3</v>
      </c>
      <c r="I15" t="s">
        <v>105</v>
      </c>
      <c r="K15" t="s">
        <v>106</v>
      </c>
      <c r="L15">
        <v>1344</v>
      </c>
      <c r="N15">
        <v>1008</v>
      </c>
      <c r="O15" t="s">
        <v>107</v>
      </c>
      <c r="P15" t="s">
        <v>107</v>
      </c>
      <c r="Q15">
        <v>1</v>
      </c>
      <c r="W15">
        <v>0</v>
      </c>
      <c r="X15">
        <v>-360884371</v>
      </c>
      <c r="Y15">
        <v>0.16</v>
      </c>
      <c r="AA15">
        <v>1</v>
      </c>
      <c r="AB15">
        <v>0</v>
      </c>
      <c r="AC15">
        <v>0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0.16</v>
      </c>
      <c r="AV15">
        <v>0</v>
      </c>
      <c r="AW15">
        <v>2</v>
      </c>
      <c r="AX15">
        <v>29222599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Y15*Source!I98</f>
        <v>0.98512</v>
      </c>
      <c r="CY15">
        <f>AA15</f>
        <v>1</v>
      </c>
      <c r="CZ15">
        <f>AE15</f>
        <v>1</v>
      </c>
      <c r="DA15">
        <f>AI15</f>
        <v>1</v>
      </c>
      <c r="DB15">
        <v>0</v>
      </c>
    </row>
    <row r="16" spans="1:106" ht="12.75">
      <c r="A16">
        <f>ROW(Source!A98)</f>
        <v>98</v>
      </c>
      <c r="B16">
        <v>24625873</v>
      </c>
      <c r="C16">
        <v>29222525</v>
      </c>
      <c r="D16">
        <v>7182455</v>
      </c>
      <c r="E16">
        <v>7157832</v>
      </c>
      <c r="F16">
        <v>1</v>
      </c>
      <c r="G16">
        <v>7157832</v>
      </c>
      <c r="H16">
        <v>3</v>
      </c>
      <c r="I16" t="s">
        <v>108</v>
      </c>
      <c r="K16" t="s">
        <v>109</v>
      </c>
      <c r="L16">
        <v>1346</v>
      </c>
      <c r="N16">
        <v>1009</v>
      </c>
      <c r="O16" t="s">
        <v>110</v>
      </c>
      <c r="P16" t="s">
        <v>110</v>
      </c>
      <c r="Q16">
        <v>1</v>
      </c>
      <c r="W16">
        <v>0</v>
      </c>
      <c r="X16">
        <v>1342097217</v>
      </c>
      <c r="Y16">
        <v>0.79</v>
      </c>
      <c r="AA16">
        <v>12.74</v>
      </c>
      <c r="AB16">
        <v>0</v>
      </c>
      <c r="AC16">
        <v>0</v>
      </c>
      <c r="AD16">
        <v>0</v>
      </c>
      <c r="AE16">
        <v>12.7057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0.79</v>
      </c>
      <c r="AV16">
        <v>0</v>
      </c>
      <c r="AW16">
        <v>2</v>
      </c>
      <c r="AX16">
        <v>29222597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Y16*Source!I98</f>
        <v>4.8640300000000005</v>
      </c>
      <c r="CY16">
        <f>AA16</f>
        <v>12.74</v>
      </c>
      <c r="CZ16">
        <f>AE16</f>
        <v>12.7057</v>
      </c>
      <c r="DA16">
        <f>AI16</f>
        <v>1</v>
      </c>
      <c r="DB16">
        <v>0</v>
      </c>
    </row>
    <row r="17" spans="1:106" ht="12.75">
      <c r="A17">
        <f>ROW(Source!A100)</f>
        <v>100</v>
      </c>
      <c r="B17">
        <v>24625873</v>
      </c>
      <c r="C17">
        <v>29222546</v>
      </c>
      <c r="D17">
        <v>7157835</v>
      </c>
      <c r="E17">
        <v>7157832</v>
      </c>
      <c r="F17">
        <v>1</v>
      </c>
      <c r="G17">
        <v>7157832</v>
      </c>
      <c r="H17">
        <v>1</v>
      </c>
      <c r="I17" t="s">
        <v>102</v>
      </c>
      <c r="K17" t="s">
        <v>103</v>
      </c>
      <c r="L17">
        <v>1191</v>
      </c>
      <c r="N17">
        <v>1013</v>
      </c>
      <c r="O17" t="s">
        <v>104</v>
      </c>
      <c r="P17" t="s">
        <v>104</v>
      </c>
      <c r="Q17">
        <v>1</v>
      </c>
      <c r="W17">
        <v>0</v>
      </c>
      <c r="X17">
        <v>946207192</v>
      </c>
      <c r="Y17">
        <v>3.73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3.73</v>
      </c>
      <c r="AV17">
        <v>1</v>
      </c>
      <c r="AW17">
        <v>2</v>
      </c>
      <c r="AX17">
        <v>29222550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Y17*Source!I100</f>
        <v>11.19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ht="12.75">
      <c r="A18">
        <f>ROW(Source!A101)</f>
        <v>101</v>
      </c>
      <c r="B18">
        <v>24625873</v>
      </c>
      <c r="C18">
        <v>29222552</v>
      </c>
      <c r="D18">
        <v>7157835</v>
      </c>
      <c r="E18">
        <v>7157832</v>
      </c>
      <c r="F18">
        <v>1</v>
      </c>
      <c r="G18">
        <v>7157832</v>
      </c>
      <c r="H18">
        <v>1</v>
      </c>
      <c r="I18" t="s">
        <v>102</v>
      </c>
      <c r="K18" t="s">
        <v>103</v>
      </c>
      <c r="L18">
        <v>1191</v>
      </c>
      <c r="N18">
        <v>1013</v>
      </c>
      <c r="O18" t="s">
        <v>104</v>
      </c>
      <c r="P18" t="s">
        <v>104</v>
      </c>
      <c r="Q18">
        <v>1</v>
      </c>
      <c r="W18">
        <v>0</v>
      </c>
      <c r="X18">
        <v>946207192</v>
      </c>
      <c r="Y18">
        <v>2.32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2.32</v>
      </c>
      <c r="AV18">
        <v>1</v>
      </c>
      <c r="AW18">
        <v>2</v>
      </c>
      <c r="AX18">
        <v>29222556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Y18*Source!I101</f>
        <v>46.4</v>
      </c>
      <c r="CY18">
        <f>AD18</f>
        <v>0</v>
      </c>
      <c r="CZ18">
        <f>AH18</f>
        <v>0</v>
      </c>
      <c r="DA18">
        <f>AL18</f>
        <v>1</v>
      </c>
      <c r="DB18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29222569</v>
      </c>
      <c r="C1">
        <v>29222567</v>
      </c>
      <c r="D1">
        <v>7157835</v>
      </c>
      <c r="E1">
        <v>7157832</v>
      </c>
      <c r="F1">
        <v>1</v>
      </c>
      <c r="G1">
        <v>7157832</v>
      </c>
      <c r="H1">
        <v>1</v>
      </c>
      <c r="I1" t="s">
        <v>102</v>
      </c>
      <c r="K1" t="s">
        <v>103</v>
      </c>
      <c r="L1">
        <v>1191</v>
      </c>
      <c r="N1">
        <v>1013</v>
      </c>
      <c r="O1" t="s">
        <v>104</v>
      </c>
      <c r="P1" t="s">
        <v>104</v>
      </c>
      <c r="Q1">
        <v>1</v>
      </c>
      <c r="X1">
        <v>6.3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G1">
        <v>6.3</v>
      </c>
      <c r="AH1">
        <v>2</v>
      </c>
      <c r="AI1">
        <v>29222569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29222571</v>
      </c>
      <c r="C2">
        <v>29222567</v>
      </c>
      <c r="D2">
        <v>7230943</v>
      </c>
      <c r="E2">
        <v>1</v>
      </c>
      <c r="F2">
        <v>1</v>
      </c>
      <c r="G2">
        <v>7157832</v>
      </c>
      <c r="H2">
        <v>2</v>
      </c>
      <c r="I2" t="s">
        <v>25</v>
      </c>
      <c r="J2" t="s">
        <v>28</v>
      </c>
      <c r="K2" t="s">
        <v>26</v>
      </c>
      <c r="L2">
        <v>1368</v>
      </c>
      <c r="N2">
        <v>1011</v>
      </c>
      <c r="O2" t="s">
        <v>27</v>
      </c>
      <c r="P2" t="s">
        <v>27</v>
      </c>
      <c r="Q2">
        <v>1</v>
      </c>
      <c r="X2">
        <v>3.5</v>
      </c>
      <c r="Y2">
        <v>0</v>
      </c>
      <c r="Z2">
        <v>12.5</v>
      </c>
      <c r="AA2">
        <v>1.12</v>
      </c>
      <c r="AB2">
        <v>0</v>
      </c>
      <c r="AC2">
        <v>0</v>
      </c>
      <c r="AD2">
        <v>1</v>
      </c>
      <c r="AE2">
        <v>0</v>
      </c>
      <c r="AG2">
        <v>3.5</v>
      </c>
      <c r="AH2">
        <v>2</v>
      </c>
      <c r="AI2">
        <v>29222571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ROW(Source!A28)</f>
        <v>28</v>
      </c>
      <c r="B3">
        <v>29222575</v>
      </c>
      <c r="C3">
        <v>29222567</v>
      </c>
      <c r="D3">
        <v>7182707</v>
      </c>
      <c r="E3">
        <v>7157832</v>
      </c>
      <c r="F3">
        <v>1</v>
      </c>
      <c r="G3">
        <v>7157832</v>
      </c>
      <c r="H3">
        <v>3</v>
      </c>
      <c r="I3" t="s">
        <v>105</v>
      </c>
      <c r="K3" t="s">
        <v>106</v>
      </c>
      <c r="L3">
        <v>1344</v>
      </c>
      <c r="N3">
        <v>1008</v>
      </c>
      <c r="O3" t="s">
        <v>107</v>
      </c>
      <c r="P3" t="s">
        <v>107</v>
      </c>
      <c r="Q3">
        <v>1</v>
      </c>
      <c r="X3">
        <v>0.16</v>
      </c>
      <c r="Y3">
        <v>1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G3">
        <v>0.16</v>
      </c>
      <c r="AH3">
        <v>2</v>
      </c>
      <c r="AI3">
        <v>29222575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ROW(Source!A28)</f>
        <v>28</v>
      </c>
      <c r="B4">
        <v>29222573</v>
      </c>
      <c r="C4">
        <v>29222567</v>
      </c>
      <c r="D4">
        <v>7182455</v>
      </c>
      <c r="E4">
        <v>7157832</v>
      </c>
      <c r="F4">
        <v>1</v>
      </c>
      <c r="G4">
        <v>7157832</v>
      </c>
      <c r="H4">
        <v>3</v>
      </c>
      <c r="I4" t="s">
        <v>108</v>
      </c>
      <c r="K4" t="s">
        <v>109</v>
      </c>
      <c r="L4">
        <v>1346</v>
      </c>
      <c r="N4">
        <v>1009</v>
      </c>
      <c r="O4" t="s">
        <v>110</v>
      </c>
      <c r="P4" t="s">
        <v>110</v>
      </c>
      <c r="Q4">
        <v>1</v>
      </c>
      <c r="X4">
        <v>0.79</v>
      </c>
      <c r="Y4">
        <v>12.7057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G4">
        <v>0.79</v>
      </c>
      <c r="AH4">
        <v>2</v>
      </c>
      <c r="AI4">
        <v>29222573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ROW(Source!A30)</f>
        <v>30</v>
      </c>
      <c r="B5">
        <v>29222336</v>
      </c>
      <c r="C5">
        <v>29222332</v>
      </c>
      <c r="D5">
        <v>7157835</v>
      </c>
      <c r="E5">
        <v>7157832</v>
      </c>
      <c r="F5">
        <v>1</v>
      </c>
      <c r="G5">
        <v>7157832</v>
      </c>
      <c r="H5">
        <v>1</v>
      </c>
      <c r="I5" t="s">
        <v>102</v>
      </c>
      <c r="K5" t="s">
        <v>103</v>
      </c>
      <c r="L5">
        <v>1191</v>
      </c>
      <c r="N5">
        <v>1013</v>
      </c>
      <c r="O5" t="s">
        <v>104</v>
      </c>
      <c r="P5" t="s">
        <v>104</v>
      </c>
      <c r="Q5">
        <v>1</v>
      </c>
      <c r="X5">
        <v>3.73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1</v>
      </c>
      <c r="AG5">
        <v>3.73</v>
      </c>
      <c r="AH5">
        <v>2</v>
      </c>
      <c r="AI5">
        <v>29222334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ROW(Source!A31)</f>
        <v>31</v>
      </c>
      <c r="B6">
        <v>29222342</v>
      </c>
      <c r="C6">
        <v>29222338</v>
      </c>
      <c r="D6">
        <v>7157835</v>
      </c>
      <c r="E6">
        <v>7157832</v>
      </c>
      <c r="F6">
        <v>1</v>
      </c>
      <c r="G6">
        <v>7157832</v>
      </c>
      <c r="H6">
        <v>1</v>
      </c>
      <c r="I6" t="s">
        <v>102</v>
      </c>
      <c r="K6" t="s">
        <v>103</v>
      </c>
      <c r="L6">
        <v>1191</v>
      </c>
      <c r="N6">
        <v>1013</v>
      </c>
      <c r="O6" t="s">
        <v>104</v>
      </c>
      <c r="P6" t="s">
        <v>104</v>
      </c>
      <c r="Q6">
        <v>1</v>
      </c>
      <c r="X6">
        <v>2.32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1</v>
      </c>
      <c r="AG6">
        <v>2.32</v>
      </c>
      <c r="AH6">
        <v>2</v>
      </c>
      <c r="AI6">
        <v>29222340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ROW(Source!A63)</f>
        <v>63</v>
      </c>
      <c r="B7">
        <v>29222583</v>
      </c>
      <c r="C7">
        <v>29222418</v>
      </c>
      <c r="D7">
        <v>7157835</v>
      </c>
      <c r="E7">
        <v>7157832</v>
      </c>
      <c r="F7">
        <v>1</v>
      </c>
      <c r="G7">
        <v>7157832</v>
      </c>
      <c r="H7">
        <v>1</v>
      </c>
      <c r="I7" t="s">
        <v>102</v>
      </c>
      <c r="K7" t="s">
        <v>103</v>
      </c>
      <c r="L7">
        <v>1191</v>
      </c>
      <c r="N7">
        <v>1013</v>
      </c>
      <c r="O7" t="s">
        <v>104</v>
      </c>
      <c r="P7" t="s">
        <v>104</v>
      </c>
      <c r="Q7">
        <v>1</v>
      </c>
      <c r="X7">
        <v>6.3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1</v>
      </c>
      <c r="AG7">
        <v>6.3</v>
      </c>
      <c r="AH7">
        <v>2</v>
      </c>
      <c r="AI7">
        <v>29222583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ROW(Source!A63)</f>
        <v>63</v>
      </c>
      <c r="B8">
        <v>29222585</v>
      </c>
      <c r="C8">
        <v>29222418</v>
      </c>
      <c r="D8">
        <v>7230943</v>
      </c>
      <c r="E8">
        <v>1</v>
      </c>
      <c r="F8">
        <v>1</v>
      </c>
      <c r="G8">
        <v>7157832</v>
      </c>
      <c r="H8">
        <v>2</v>
      </c>
      <c r="I8" t="s">
        <v>25</v>
      </c>
      <c r="J8" t="s">
        <v>28</v>
      </c>
      <c r="K8" t="s">
        <v>26</v>
      </c>
      <c r="L8">
        <v>1368</v>
      </c>
      <c r="N8">
        <v>1011</v>
      </c>
      <c r="O8" t="s">
        <v>27</v>
      </c>
      <c r="P8" t="s">
        <v>27</v>
      </c>
      <c r="Q8">
        <v>1</v>
      </c>
      <c r="X8">
        <v>3.5</v>
      </c>
      <c r="Y8">
        <v>0</v>
      </c>
      <c r="Z8">
        <v>12.5</v>
      </c>
      <c r="AA8">
        <v>1.12</v>
      </c>
      <c r="AB8">
        <v>0</v>
      </c>
      <c r="AC8">
        <v>0</v>
      </c>
      <c r="AD8">
        <v>1</v>
      </c>
      <c r="AE8">
        <v>0</v>
      </c>
      <c r="AG8">
        <v>3.5</v>
      </c>
      <c r="AH8">
        <v>2</v>
      </c>
      <c r="AI8">
        <v>29222585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ROW(Source!A63)</f>
        <v>63</v>
      </c>
      <c r="B9">
        <v>29222589</v>
      </c>
      <c r="C9">
        <v>29222418</v>
      </c>
      <c r="D9">
        <v>7182707</v>
      </c>
      <c r="E9">
        <v>7157832</v>
      </c>
      <c r="F9">
        <v>1</v>
      </c>
      <c r="G9">
        <v>7157832</v>
      </c>
      <c r="H9">
        <v>3</v>
      </c>
      <c r="I9" t="s">
        <v>105</v>
      </c>
      <c r="K9" t="s">
        <v>106</v>
      </c>
      <c r="L9">
        <v>1344</v>
      </c>
      <c r="N9">
        <v>1008</v>
      </c>
      <c r="O9" t="s">
        <v>107</v>
      </c>
      <c r="P9" t="s">
        <v>107</v>
      </c>
      <c r="Q9">
        <v>1</v>
      </c>
      <c r="X9">
        <v>0.16</v>
      </c>
      <c r="Y9">
        <v>1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0.16</v>
      </c>
      <c r="AH9">
        <v>2</v>
      </c>
      <c r="AI9">
        <v>29222589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ROW(Source!A63)</f>
        <v>63</v>
      </c>
      <c r="B10">
        <v>29222587</v>
      </c>
      <c r="C10">
        <v>29222418</v>
      </c>
      <c r="D10">
        <v>7182455</v>
      </c>
      <c r="E10">
        <v>7157832</v>
      </c>
      <c r="F10">
        <v>1</v>
      </c>
      <c r="G10">
        <v>7157832</v>
      </c>
      <c r="H10">
        <v>3</v>
      </c>
      <c r="I10" t="s">
        <v>108</v>
      </c>
      <c r="K10" t="s">
        <v>109</v>
      </c>
      <c r="L10">
        <v>1346</v>
      </c>
      <c r="N10">
        <v>1009</v>
      </c>
      <c r="O10" t="s">
        <v>110</v>
      </c>
      <c r="P10" t="s">
        <v>110</v>
      </c>
      <c r="Q10">
        <v>1</v>
      </c>
      <c r="X10">
        <v>0.79</v>
      </c>
      <c r="Y10">
        <v>12.7057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0.79</v>
      </c>
      <c r="AH10">
        <v>2</v>
      </c>
      <c r="AI10">
        <v>29222587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ROW(Source!A65)</f>
        <v>65</v>
      </c>
      <c r="B11">
        <v>29222443</v>
      </c>
      <c r="C11">
        <v>29222439</v>
      </c>
      <c r="D11">
        <v>7157835</v>
      </c>
      <c r="E11">
        <v>7157832</v>
      </c>
      <c r="F11">
        <v>1</v>
      </c>
      <c r="G11">
        <v>7157832</v>
      </c>
      <c r="H11">
        <v>1</v>
      </c>
      <c r="I11" t="s">
        <v>102</v>
      </c>
      <c r="K11" t="s">
        <v>103</v>
      </c>
      <c r="L11">
        <v>1191</v>
      </c>
      <c r="N11">
        <v>1013</v>
      </c>
      <c r="O11" t="s">
        <v>104</v>
      </c>
      <c r="P11" t="s">
        <v>104</v>
      </c>
      <c r="Q11">
        <v>1</v>
      </c>
      <c r="X11">
        <v>3.73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1</v>
      </c>
      <c r="AG11">
        <v>3.73</v>
      </c>
      <c r="AH11">
        <v>2</v>
      </c>
      <c r="AI11">
        <v>29222441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ROW(Source!A66)</f>
        <v>66</v>
      </c>
      <c r="B12">
        <v>29222449</v>
      </c>
      <c r="C12">
        <v>29222445</v>
      </c>
      <c r="D12">
        <v>7157835</v>
      </c>
      <c r="E12">
        <v>7157832</v>
      </c>
      <c r="F12">
        <v>1</v>
      </c>
      <c r="G12">
        <v>7157832</v>
      </c>
      <c r="H12">
        <v>1</v>
      </c>
      <c r="I12" t="s">
        <v>102</v>
      </c>
      <c r="K12" t="s">
        <v>103</v>
      </c>
      <c r="L12">
        <v>1191</v>
      </c>
      <c r="N12">
        <v>1013</v>
      </c>
      <c r="O12" t="s">
        <v>104</v>
      </c>
      <c r="P12" t="s">
        <v>104</v>
      </c>
      <c r="Q12">
        <v>1</v>
      </c>
      <c r="X12">
        <v>2.32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1</v>
      </c>
      <c r="AG12">
        <v>2.32</v>
      </c>
      <c r="AH12">
        <v>2</v>
      </c>
      <c r="AI12">
        <v>29222447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ROW(Source!A98)</f>
        <v>98</v>
      </c>
      <c r="B13">
        <v>29222593</v>
      </c>
      <c r="C13">
        <v>29222525</v>
      </c>
      <c r="D13">
        <v>7157835</v>
      </c>
      <c r="E13">
        <v>7157832</v>
      </c>
      <c r="F13">
        <v>1</v>
      </c>
      <c r="G13">
        <v>7157832</v>
      </c>
      <c r="H13">
        <v>1</v>
      </c>
      <c r="I13" t="s">
        <v>102</v>
      </c>
      <c r="K13" t="s">
        <v>103</v>
      </c>
      <c r="L13">
        <v>1191</v>
      </c>
      <c r="N13">
        <v>1013</v>
      </c>
      <c r="O13" t="s">
        <v>104</v>
      </c>
      <c r="P13" t="s">
        <v>104</v>
      </c>
      <c r="Q13">
        <v>1</v>
      </c>
      <c r="X13">
        <v>6.3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1</v>
      </c>
      <c r="AG13">
        <v>6.3</v>
      </c>
      <c r="AH13">
        <v>2</v>
      </c>
      <c r="AI13">
        <v>29222593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ROW(Source!A98)</f>
        <v>98</v>
      </c>
      <c r="B14">
        <v>29222595</v>
      </c>
      <c r="C14">
        <v>29222525</v>
      </c>
      <c r="D14">
        <v>7230943</v>
      </c>
      <c r="E14">
        <v>1</v>
      </c>
      <c r="F14">
        <v>1</v>
      </c>
      <c r="G14">
        <v>7157832</v>
      </c>
      <c r="H14">
        <v>2</v>
      </c>
      <c r="I14" t="s">
        <v>25</v>
      </c>
      <c r="J14" t="s">
        <v>28</v>
      </c>
      <c r="K14" t="s">
        <v>26</v>
      </c>
      <c r="L14">
        <v>1368</v>
      </c>
      <c r="N14">
        <v>1011</v>
      </c>
      <c r="O14" t="s">
        <v>27</v>
      </c>
      <c r="P14" t="s">
        <v>27</v>
      </c>
      <c r="Q14">
        <v>1</v>
      </c>
      <c r="X14">
        <v>3.5</v>
      </c>
      <c r="Y14">
        <v>0</v>
      </c>
      <c r="Z14">
        <v>12.5</v>
      </c>
      <c r="AA14">
        <v>1.12</v>
      </c>
      <c r="AB14">
        <v>0</v>
      </c>
      <c r="AC14">
        <v>0</v>
      </c>
      <c r="AD14">
        <v>1</v>
      </c>
      <c r="AE14">
        <v>0</v>
      </c>
      <c r="AG14">
        <v>3.5</v>
      </c>
      <c r="AH14">
        <v>2</v>
      </c>
      <c r="AI14">
        <v>29222595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ROW(Source!A98)</f>
        <v>98</v>
      </c>
      <c r="B15">
        <v>29222599</v>
      </c>
      <c r="C15">
        <v>29222525</v>
      </c>
      <c r="D15">
        <v>7182707</v>
      </c>
      <c r="E15">
        <v>7157832</v>
      </c>
      <c r="F15">
        <v>1</v>
      </c>
      <c r="G15">
        <v>7157832</v>
      </c>
      <c r="H15">
        <v>3</v>
      </c>
      <c r="I15" t="s">
        <v>105</v>
      </c>
      <c r="K15" t="s">
        <v>106</v>
      </c>
      <c r="L15">
        <v>1344</v>
      </c>
      <c r="N15">
        <v>1008</v>
      </c>
      <c r="O15" t="s">
        <v>107</v>
      </c>
      <c r="P15" t="s">
        <v>107</v>
      </c>
      <c r="Q15">
        <v>1</v>
      </c>
      <c r="X15">
        <v>0.16</v>
      </c>
      <c r="Y15">
        <v>1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G15">
        <v>0.16</v>
      </c>
      <c r="AH15">
        <v>2</v>
      </c>
      <c r="AI15">
        <v>29222599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ROW(Source!A98)</f>
        <v>98</v>
      </c>
      <c r="B16">
        <v>29222597</v>
      </c>
      <c r="C16">
        <v>29222525</v>
      </c>
      <c r="D16">
        <v>7182455</v>
      </c>
      <c r="E16">
        <v>7157832</v>
      </c>
      <c r="F16">
        <v>1</v>
      </c>
      <c r="G16">
        <v>7157832</v>
      </c>
      <c r="H16">
        <v>3</v>
      </c>
      <c r="I16" t="s">
        <v>108</v>
      </c>
      <c r="K16" t="s">
        <v>109</v>
      </c>
      <c r="L16">
        <v>1346</v>
      </c>
      <c r="N16">
        <v>1009</v>
      </c>
      <c r="O16" t="s">
        <v>110</v>
      </c>
      <c r="P16" t="s">
        <v>110</v>
      </c>
      <c r="Q16">
        <v>1</v>
      </c>
      <c r="X16">
        <v>0.79</v>
      </c>
      <c r="Y16">
        <v>12.7057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0.79</v>
      </c>
      <c r="AH16">
        <v>2</v>
      </c>
      <c r="AI16">
        <v>29222597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ROW(Source!A100)</f>
        <v>100</v>
      </c>
      <c r="B17">
        <v>29222550</v>
      </c>
      <c r="C17">
        <v>29222546</v>
      </c>
      <c r="D17">
        <v>7157835</v>
      </c>
      <c r="E17">
        <v>7157832</v>
      </c>
      <c r="F17">
        <v>1</v>
      </c>
      <c r="G17">
        <v>7157832</v>
      </c>
      <c r="H17">
        <v>1</v>
      </c>
      <c r="I17" t="s">
        <v>102</v>
      </c>
      <c r="K17" t="s">
        <v>103</v>
      </c>
      <c r="L17">
        <v>1191</v>
      </c>
      <c r="N17">
        <v>1013</v>
      </c>
      <c r="O17" t="s">
        <v>104</v>
      </c>
      <c r="P17" t="s">
        <v>104</v>
      </c>
      <c r="Q17">
        <v>1</v>
      </c>
      <c r="X17">
        <v>3.73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1</v>
      </c>
      <c r="AG17">
        <v>3.73</v>
      </c>
      <c r="AH17">
        <v>2</v>
      </c>
      <c r="AI17">
        <v>29222548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ROW(Source!A101)</f>
        <v>101</v>
      </c>
      <c r="B18">
        <v>29222556</v>
      </c>
      <c r="C18">
        <v>29222552</v>
      </c>
      <c r="D18">
        <v>7157835</v>
      </c>
      <c r="E18">
        <v>7157832</v>
      </c>
      <c r="F18">
        <v>1</v>
      </c>
      <c r="G18">
        <v>7157832</v>
      </c>
      <c r="H18">
        <v>1</v>
      </c>
      <c r="I18" t="s">
        <v>102</v>
      </c>
      <c r="K18" t="s">
        <v>103</v>
      </c>
      <c r="L18">
        <v>1191</v>
      </c>
      <c r="N18">
        <v>1013</v>
      </c>
      <c r="O18" t="s">
        <v>104</v>
      </c>
      <c r="P18" t="s">
        <v>104</v>
      </c>
      <c r="Q18">
        <v>1</v>
      </c>
      <c r="X18">
        <v>2.32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1</v>
      </c>
      <c r="AG18">
        <v>2.32</v>
      </c>
      <c r="AH18">
        <v>2</v>
      </c>
      <c r="AI18">
        <v>29222554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Smeta</cp:lastModifiedBy>
  <dcterms:modified xsi:type="dcterms:W3CDTF">2016-04-07T09:20:56Z</dcterms:modified>
  <cp:category/>
  <cp:version/>
  <cp:contentType/>
  <cp:contentStatus/>
</cp:coreProperties>
</file>